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5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Assumptions" sheetId="2" state="visible" r:id="rId2"/>
    <sheet xmlns:r="http://schemas.openxmlformats.org/officeDocument/2006/relationships" name="Roadmap KPIs" sheetId="3" state="visible" r:id="rId3"/>
    <sheet xmlns:r="http://schemas.openxmlformats.org/officeDocument/2006/relationships" name="Monthly P&amp;L" sheetId="4" state="visible" r:id="rId4"/>
    <sheet xmlns:r="http://schemas.openxmlformats.org/officeDocument/2006/relationships" name="Growth Bridge" sheetId="5" state="visible" r:id="rId5"/>
  </sheets>
  <definedNames/>
  <calcPr calcId="124519" fullCalcOnLoad="1" refMode="A1" iterate="0" iterateCount="100" iterateDelta="0.0001" forceFullCalc="1"/>
</workbook>
</file>

<file path=xl/styles.xml><?xml version="1.0" encoding="utf-8"?>
<styleSheet xmlns="http://schemas.openxmlformats.org/spreadsheetml/2006/main">
  <numFmts count="6">
    <numFmt numFmtId="164" formatCode="#,##0.0"/>
    <numFmt numFmtId="165" formatCode="0.0%;\(0.0%\);\-"/>
    <numFmt numFmtId="166" formatCode="#,##0;\(#,##0\);\-"/>
    <numFmt numFmtId="167" formatCode="\$#,##0"/>
    <numFmt numFmtId="168" formatCode="0.0\x"/>
    <numFmt numFmtId="169" formatCode="$#,##0"/>
  </numFmts>
  <fonts count="41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Arial"/>
      <charset val="1"/>
      <family val="0"/>
      <b val="1"/>
      <color rgb="FFFFFFFF"/>
      <sz val="12"/>
    </font>
    <font>
      <name val="Arial"/>
      <charset val="1"/>
      <family val="0"/>
      <i val="1"/>
      <color rgb="FF6B7A90"/>
      <sz val="9"/>
    </font>
    <font>
      <name val="Arial"/>
      <charset val="1"/>
      <family val="0"/>
      <b val="1"/>
      <color rgb="FFFFFFFF"/>
      <sz val="10"/>
    </font>
    <font>
      <name val="Arial"/>
      <charset val="1"/>
      <family val="0"/>
      <color rgb="FF1A1A2E"/>
      <sz val="10"/>
    </font>
    <font>
      <name val="Arial"/>
      <charset val="1"/>
      <family val="0"/>
      <b val="1"/>
      <color rgb="FF0000CC"/>
      <sz val="10"/>
    </font>
    <font>
      <name val="Arial"/>
      <charset val="1"/>
      <family val="0"/>
      <b val="1"/>
      <color rgb="FFB8962E"/>
      <sz val="10"/>
    </font>
    <font>
      <name val="Arial"/>
      <charset val="1"/>
      <family val="0"/>
      <i val="1"/>
      <color rgb="FF1A6B4A"/>
      <sz val="9"/>
    </font>
    <font>
      <name val="Arial"/>
      <charset val="1"/>
      <family val="0"/>
      <b val="1"/>
      <color rgb="FFFFFFFF"/>
      <sz val="11"/>
    </font>
    <font>
      <name val="Arial"/>
      <charset val="1"/>
      <family val="0"/>
      <b val="1"/>
      <color rgb="FFFFFFFF"/>
      <sz val="8"/>
    </font>
    <font>
      <name val="Arial"/>
      <charset val="1"/>
      <family val="0"/>
      <color rgb="FF1A1A2E"/>
      <sz val="8.5"/>
    </font>
    <font>
      <name val="Arial"/>
      <charset val="1"/>
      <family val="0"/>
      <color rgb="FF6B7A90"/>
      <sz val="8"/>
    </font>
    <font>
      <name val="Arial"/>
      <charset val="1"/>
      <family val="0"/>
      <b val="1"/>
      <color rgb="FF1A1A2E"/>
      <sz val="8"/>
    </font>
    <font>
      <name val="Arial"/>
      <charset val="1"/>
      <family val="0"/>
      <color rgb="FF1A1A2E"/>
      <sz val="8"/>
    </font>
    <font>
      <name val="Arial"/>
      <charset val="1"/>
      <family val="0"/>
      <b val="1"/>
      <color rgb="FF1A1A2E"/>
      <sz val="8.5"/>
    </font>
    <font>
      <name val="Arial"/>
      <charset val="1"/>
      <family val="0"/>
      <color rgb="FF1A6B4A"/>
      <sz val="8"/>
    </font>
    <font>
      <name val="Arial"/>
      <charset val="1"/>
      <family val="0"/>
      <b val="1"/>
      <color rgb="FF1A6B4A"/>
      <sz val="8.5"/>
    </font>
    <font>
      <name val="Arial"/>
      <charset val="1"/>
      <family val="0"/>
      <color rgb="FF8B2020"/>
      <sz val="8"/>
    </font>
    <font>
      <name val="Arial"/>
      <charset val="1"/>
      <family val="0"/>
      <b val="1"/>
      <color rgb="FF8B2020"/>
      <sz val="8.5"/>
    </font>
    <font>
      <name val="Arial"/>
      <charset val="1"/>
      <family val="0"/>
      <color rgb="FFB8962E"/>
      <sz val="8"/>
    </font>
    <font>
      <name val="Arial"/>
      <charset val="1"/>
      <family val="0"/>
      <b val="1"/>
      <color rgb="FFB8962E"/>
      <sz val="8.5"/>
    </font>
    <font>
      <name val="Arial"/>
      <charset val="1"/>
      <family val="0"/>
      <b val="1"/>
      <color rgb="FF1A6B4A"/>
      <sz val="9"/>
    </font>
    <font>
      <name val="Arial"/>
      <charset val="1"/>
      <family val="0"/>
      <b val="1"/>
      <color rgb="FF1A1A2E"/>
      <sz val="10"/>
    </font>
    <font>
      <name val="Arial"/>
      <charset val="1"/>
      <family val="0"/>
      <color rgb="FFB8962E"/>
      <sz val="10"/>
    </font>
    <font>
      <name val="Arial"/>
      <charset val="1"/>
      <family val="0"/>
      <i val="1"/>
      <color rgb="FFB8962E"/>
      <sz val="10"/>
    </font>
    <font>
      <name val="Arial"/>
      <charset val="1"/>
      <family val="0"/>
      <color rgb="FF6B7A90"/>
      <sz val="10"/>
    </font>
    <font>
      <name val="Arial"/>
      <charset val="1"/>
      <family val="0"/>
      <b val="1"/>
      <color rgb="FF0D1E3A"/>
      <sz val="10"/>
    </font>
    <font>
      <b val="1"/>
      <color rgb="00FFFFFF"/>
      <sz val="16"/>
    </font>
    <font>
      <i val="1"/>
      <color rgb="00F2DB78"/>
      <sz val="10"/>
    </font>
    <font>
      <color rgb="00111827"/>
      <sz val="10"/>
    </font>
    <font>
      <b val="1"/>
      <color rgb="00071226"/>
      <sz val="10"/>
    </font>
    <font>
      <b val="1"/>
      <color rgb="00071226"/>
      <sz val="12"/>
    </font>
    <font>
      <i val="1"/>
      <color rgb="0064748B"/>
      <sz val="9"/>
    </font>
    <font>
      <b val="1"/>
      <color rgb="00166534"/>
    </font>
    <font>
      <b val="1"/>
      <color rgb="00071226"/>
    </font>
    <font>
      <b val="1"/>
      <color rgb="00FFFFFF"/>
    </font>
    <font>
      <b val="1"/>
      <color rgb="00071226"/>
      <sz val="11"/>
    </font>
    <font>
      <b val="1"/>
      <color rgb="00FFFFFF"/>
      <sz val="10"/>
    </font>
  </fonts>
  <fills count="15">
    <fill>
      <patternFill/>
    </fill>
    <fill>
      <patternFill patternType="gray125"/>
    </fill>
    <fill>
      <patternFill patternType="solid">
        <fgColor rgb="FF0D1E3A"/>
        <bgColor rgb="FF1A1A2E"/>
      </patternFill>
    </fill>
    <fill>
      <patternFill patternType="solid">
        <fgColor rgb="FFEAF0FF"/>
        <bgColor rgb="FFF2F4F7"/>
      </patternFill>
    </fill>
    <fill>
      <patternFill patternType="solid">
        <fgColor rgb="FF2A3A52"/>
        <bgColor rgb="FF333399"/>
      </patternFill>
    </fill>
    <fill>
      <patternFill patternType="solid">
        <fgColor rgb="FFF2F4F7"/>
        <bgColor rgb="FFEAF0FF"/>
      </patternFill>
    </fill>
    <fill>
      <patternFill patternType="solid">
        <fgColor rgb="FFE2E6EC"/>
        <bgColor rgb="FFEAF0FF"/>
      </patternFill>
    </fill>
    <fill>
      <patternFill patternType="solid">
        <fgColor rgb="FFE8F5EE"/>
        <bgColor rgb="FFF2F4F7"/>
      </patternFill>
    </fill>
    <fill>
      <patternFill patternType="solid">
        <fgColor rgb="FFFBF6E9"/>
        <bgColor rgb="FFF2F4F7"/>
      </patternFill>
    </fill>
    <fill>
      <patternFill patternType="solid">
        <fgColor rgb="00071226"/>
      </patternFill>
    </fill>
    <fill>
      <patternFill patternType="solid">
        <fgColor rgb="000D1A31"/>
      </patternFill>
    </fill>
    <fill>
      <patternFill patternType="solid">
        <fgColor rgb="00EAF0F8"/>
      </patternFill>
    </fill>
    <fill>
      <patternFill patternType="solid">
        <fgColor rgb="00F6F8FC"/>
      </patternFill>
    </fill>
    <fill>
      <patternFill patternType="solid">
        <fgColor rgb="00E8F6EF"/>
      </patternFill>
    </fill>
    <fill>
      <patternFill patternType="solid">
        <fgColor rgb="00DDEBFF"/>
      </patternFill>
    </fill>
  </fills>
  <borders count="2">
    <border>
      <left/>
      <right/>
      <top/>
      <bottom/>
      <diagonal/>
    </border>
    <border>
      <left style="thin">
        <color rgb="00D7DEE8"/>
      </left>
      <right style="thin">
        <color rgb="00D7DEE8"/>
      </right>
      <top style="thin">
        <color rgb="00D7DEE8"/>
      </top>
      <bottom style="thin">
        <color rgb="00D7DEE8"/>
      </bottom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105"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left" vertical="center"/>
    </xf>
    <xf numFmtId="0" fontId="5" fillId="0" borderId="0" applyAlignment="1" pivotButton="0" quotePrefix="0" xfId="0">
      <alignment horizontal="left" vertical="center"/>
    </xf>
    <xf numFmtId="0" fontId="6" fillId="2" borderId="0" applyAlignment="1" pivotButton="0" quotePrefix="0" xfId="0">
      <alignment horizontal="left" vertical="center"/>
    </xf>
    <xf numFmtId="0" fontId="7" fillId="0" borderId="0" applyAlignment="1" pivotButton="0" quotePrefix="0" xfId="0">
      <alignment horizontal="left" vertical="center"/>
    </xf>
    <xf numFmtId="164" fontId="8" fillId="3" borderId="0" applyAlignment="1" pivotButton="0" quotePrefix="0" xfId="0">
      <alignment horizontal="center" vertical="center"/>
    </xf>
    <xf numFmtId="0" fontId="5" fillId="0" borderId="0" applyAlignment="1" pivotButton="0" quotePrefix="0" xfId="0">
      <alignment horizontal="left" vertical="center"/>
    </xf>
    <xf numFmtId="165" fontId="8" fillId="3" borderId="0" applyAlignment="1" pivotButton="0" quotePrefix="0" xfId="0">
      <alignment horizontal="center" vertical="center"/>
    </xf>
    <xf numFmtId="166" fontId="8" fillId="3" borderId="0" applyAlignment="1" pivotButton="0" quotePrefix="0" xfId="0">
      <alignment horizontal="center" vertical="center"/>
    </xf>
    <xf numFmtId="166" fontId="9" fillId="0" borderId="0" applyAlignment="1" pivotButton="0" quotePrefix="0" xfId="0">
      <alignment horizontal="center" vertical="center"/>
    </xf>
    <xf numFmtId="0" fontId="10" fillId="0" borderId="0" applyAlignment="1" pivotButton="0" quotePrefix="0" xfId="0">
      <alignment horizontal="left" vertical="center"/>
    </xf>
    <xf numFmtId="0" fontId="11" fillId="2" borderId="0" applyAlignment="1" pivotButton="0" quotePrefix="0" xfId="0">
      <alignment horizontal="left" vertical="center"/>
    </xf>
    <xf numFmtId="0" fontId="6" fillId="2" borderId="0" applyAlignment="1" pivotButton="0" quotePrefix="0" xfId="0">
      <alignment horizontal="left" vertical="center"/>
    </xf>
    <xf numFmtId="0" fontId="7" fillId="2" borderId="0" applyAlignment="1" pivotButton="0" quotePrefix="0" xfId="0">
      <alignment horizontal="right" vertical="center"/>
    </xf>
    <xf numFmtId="0" fontId="12" fillId="4" borderId="0" applyAlignment="1" pivotButton="0" quotePrefix="0" xfId="0">
      <alignment horizontal="center" vertical="center"/>
    </xf>
    <xf numFmtId="0" fontId="12" fillId="2" borderId="0" applyAlignment="1" pivotButton="0" quotePrefix="0" xfId="0">
      <alignment horizontal="center" vertical="center"/>
    </xf>
    <xf numFmtId="0" fontId="13" fillId="0" borderId="0" applyAlignment="1" pivotButton="0" quotePrefix="0" xfId="0">
      <alignment horizontal="left" vertical="center"/>
    </xf>
    <xf numFmtId="166" fontId="14" fillId="0" borderId="0" applyAlignment="1" pivotButton="0" quotePrefix="0" xfId="0">
      <alignment horizontal="right" vertical="center"/>
    </xf>
    <xf numFmtId="166" fontId="15" fillId="5" borderId="0" applyAlignment="1" pivotButton="0" quotePrefix="0" xfId="0">
      <alignment horizontal="right" vertical="center"/>
    </xf>
    <xf numFmtId="9" fontId="14" fillId="0" borderId="0" applyAlignment="1" pivotButton="0" quotePrefix="0" xfId="0">
      <alignment horizontal="right" vertical="center"/>
    </xf>
    <xf numFmtId="166" fontId="16" fillId="0" borderId="0" applyAlignment="1" pivotButton="0" quotePrefix="0" xfId="0">
      <alignment horizontal="right" vertical="center"/>
    </xf>
    <xf numFmtId="166" fontId="17" fillId="5" borderId="0" applyAlignment="1" pivotButton="0" quotePrefix="0" xfId="0">
      <alignment horizontal="right" vertical="center"/>
    </xf>
    <xf numFmtId="166" fontId="18" fillId="0" borderId="0" applyAlignment="1" pivotButton="0" quotePrefix="0" xfId="0">
      <alignment horizontal="right" vertical="center"/>
    </xf>
    <xf numFmtId="166" fontId="19" fillId="5" borderId="0" applyAlignment="1" pivotButton="0" quotePrefix="0" xfId="0">
      <alignment horizontal="right" vertical="center"/>
    </xf>
    <xf numFmtId="0" fontId="17" fillId="6" borderId="0" applyAlignment="1" pivotButton="0" quotePrefix="0" xfId="0">
      <alignment horizontal="left" vertical="center"/>
    </xf>
    <xf numFmtId="166" fontId="15" fillId="6" borderId="0" applyAlignment="1" pivotButton="0" quotePrefix="0" xfId="0">
      <alignment horizontal="right" vertical="center"/>
    </xf>
    <xf numFmtId="166" fontId="17" fillId="6" borderId="0" applyAlignment="1" pivotButton="0" quotePrefix="0" xfId="0">
      <alignment horizontal="right" vertical="center"/>
    </xf>
    <xf numFmtId="166" fontId="20" fillId="0" borderId="0" applyAlignment="1" pivotButton="0" quotePrefix="0" xfId="0">
      <alignment horizontal="right" vertical="center"/>
    </xf>
    <xf numFmtId="166" fontId="21" fillId="5" borderId="0" applyAlignment="1" pivotButton="0" quotePrefix="0" xfId="0">
      <alignment horizontal="right" vertical="center"/>
    </xf>
    <xf numFmtId="166" fontId="22" fillId="0" borderId="0" applyAlignment="1" pivotButton="0" quotePrefix="0" xfId="0">
      <alignment horizontal="right" vertical="center"/>
    </xf>
    <xf numFmtId="166" fontId="23" fillId="5" borderId="0" applyAlignment="1" pivotButton="0" quotePrefix="0" xfId="0">
      <alignment horizontal="right" vertical="center"/>
    </xf>
    <xf numFmtId="0" fontId="17" fillId="5" borderId="0" applyAlignment="1" pivotButton="0" quotePrefix="0" xfId="0">
      <alignment horizontal="left" vertical="center"/>
    </xf>
    <xf numFmtId="166" fontId="15" fillId="0" borderId="0" applyAlignment="1" pivotButton="0" quotePrefix="0" xfId="0">
      <alignment horizontal="right" vertical="center"/>
    </xf>
    <xf numFmtId="0" fontId="17" fillId="7" borderId="0" applyAlignment="1" pivotButton="0" quotePrefix="0" xfId="0">
      <alignment horizontal="left" vertical="center"/>
    </xf>
    <xf numFmtId="166" fontId="15" fillId="7" borderId="0" applyAlignment="1" pivotButton="0" quotePrefix="0" xfId="0">
      <alignment horizontal="right" vertical="center"/>
    </xf>
    <xf numFmtId="166" fontId="17" fillId="7" borderId="0" applyAlignment="1" pivotButton="0" quotePrefix="0" xfId="0">
      <alignment horizontal="right" vertical="center"/>
    </xf>
    <xf numFmtId="0" fontId="24" fillId="0" borderId="0" applyAlignment="1" pivotButton="0" quotePrefix="0" xfId="0">
      <alignment horizontal="left" vertical="center"/>
    </xf>
    <xf numFmtId="167" fontId="25" fillId="0" borderId="0" applyAlignment="1" pivotButton="0" quotePrefix="0" xfId="0">
      <alignment horizontal="center" vertical="center"/>
    </xf>
    <xf numFmtId="165" fontId="25" fillId="0" borderId="0" applyAlignment="1" pivotButton="0" quotePrefix="0" xfId="0">
      <alignment horizontal="center" vertical="center"/>
    </xf>
    <xf numFmtId="0" fontId="25" fillId="0" borderId="0" applyAlignment="1" pivotButton="0" quotePrefix="0" xfId="0">
      <alignment horizontal="center" vertical="center"/>
    </xf>
    <xf numFmtId="167" fontId="9" fillId="0" borderId="0" applyAlignment="1" pivotButton="0" quotePrefix="0" xfId="0">
      <alignment horizontal="center" vertical="center"/>
    </xf>
    <xf numFmtId="0" fontId="15" fillId="0" borderId="0" applyAlignment="1" pivotButton="0" quotePrefix="0" xfId="0">
      <alignment horizontal="center" vertical="center"/>
    </xf>
    <xf numFmtId="0" fontId="6" fillId="2" borderId="0" applyAlignment="1" pivotButton="0" quotePrefix="0" xfId="0">
      <alignment horizontal="center" vertical="center"/>
    </xf>
    <xf numFmtId="168" fontId="25" fillId="0" borderId="0" applyAlignment="1" pivotButton="0" quotePrefix="0" xfId="0">
      <alignment horizontal="center" vertical="center"/>
    </xf>
    <xf numFmtId="0" fontId="26" fillId="0" borderId="0" applyAlignment="1" pivotButton="0" quotePrefix="0" xfId="0">
      <alignment horizontal="left" vertical="center"/>
    </xf>
    <xf numFmtId="168" fontId="9" fillId="8" borderId="0" applyAlignment="1" pivotButton="0" quotePrefix="0" xfId="0">
      <alignment horizontal="center" vertical="center"/>
    </xf>
    <xf numFmtId="0" fontId="27" fillId="0" borderId="0" applyAlignment="1" pivotButton="0" quotePrefix="0" xfId="0">
      <alignment horizontal="left" vertical="center"/>
    </xf>
    <xf numFmtId="0" fontId="28" fillId="0" borderId="0" applyAlignment="1" pivotButton="0" quotePrefix="0" xfId="0">
      <alignment horizontal="left" vertical="center"/>
    </xf>
    <xf numFmtId="167" fontId="29" fillId="0" borderId="0" applyAlignment="1" pivotButton="0" quotePrefix="0" xfId="0">
      <alignment horizontal="left" vertical="center"/>
    </xf>
    <xf numFmtId="165" fontId="29" fillId="0" borderId="0" applyAlignment="1" pivotButton="0" quotePrefix="0" xfId="0">
      <alignment horizontal="left" vertical="center"/>
    </xf>
    <xf numFmtId="0" fontId="29" fillId="0" borderId="0" applyAlignment="1" pivotButton="0" quotePrefix="0" xfId="0">
      <alignment horizontal="left" vertical="center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30" fillId="9" borderId="1" applyAlignment="1" pivotButton="0" quotePrefix="0" xfId="0">
      <alignment vertical="center" wrapText="1"/>
    </xf>
    <xf numFmtId="0" fontId="0" fillId="0" borderId="1" applyAlignment="1" pivotButton="0" quotePrefix="0" xfId="0">
      <alignment vertical="center" wrapText="1"/>
    </xf>
    <xf numFmtId="0" fontId="31" fillId="10" borderId="1" applyAlignment="1" pivotButton="0" quotePrefix="0" xfId="0">
      <alignment vertical="center" wrapText="1"/>
    </xf>
    <xf numFmtId="0" fontId="32" fillId="0" borderId="1" applyAlignment="1" pivotButton="0" quotePrefix="0" xfId="0">
      <alignment vertical="center" wrapText="1"/>
    </xf>
    <xf numFmtId="0" fontId="33" fillId="11" borderId="1" applyAlignment="1" pivotButton="0" quotePrefix="0" xfId="0">
      <alignment vertical="center"/>
    </xf>
    <xf numFmtId="169" fontId="34" fillId="0" borderId="1" applyAlignment="1" pivotButton="0" quotePrefix="0" xfId="0">
      <alignment vertical="center" wrapText="1"/>
    </xf>
    <xf numFmtId="0" fontId="35" fillId="0" borderId="1" applyAlignment="1" pivotButton="0" quotePrefix="0" xfId="0">
      <alignment vertical="center" wrapText="1"/>
    </xf>
    <xf numFmtId="0" fontId="32" fillId="12" borderId="1" applyAlignment="1" pivotButton="0" quotePrefix="0" xfId="0">
      <alignment vertical="center" wrapText="1"/>
    </xf>
    <xf numFmtId="169" fontId="34" fillId="12" borderId="1" applyAlignment="1" pivotButton="0" quotePrefix="0" xfId="0">
      <alignment vertical="center" wrapText="1"/>
    </xf>
    <xf numFmtId="0" fontId="35" fillId="12" borderId="1" applyAlignment="1" pivotButton="0" quotePrefix="0" xfId="0">
      <alignment vertical="center" wrapText="1"/>
    </xf>
    <xf numFmtId="9" fontId="34" fillId="0" borderId="1" applyAlignment="1" pivotButton="0" quotePrefix="0" xfId="0">
      <alignment vertical="center" wrapText="1"/>
    </xf>
    <xf numFmtId="0" fontId="34" fillId="12" borderId="1" applyAlignment="1" pivotButton="0" quotePrefix="0" xfId="0">
      <alignment vertical="center" wrapText="1"/>
    </xf>
    <xf numFmtId="0" fontId="32" fillId="11" borderId="1" applyAlignment="1" pivotButton="0" quotePrefix="0" xfId="0">
      <alignment vertical="center"/>
    </xf>
    <xf numFmtId="0" fontId="34" fillId="11" borderId="1" applyAlignment="1" pivotButton="0" quotePrefix="0" xfId="0">
      <alignment vertical="center"/>
    </xf>
    <xf numFmtId="0" fontId="35" fillId="11" borderId="1" applyAlignment="1" pivotButton="0" quotePrefix="0" xfId="0">
      <alignment vertical="center"/>
    </xf>
    <xf numFmtId="0" fontId="34" fillId="0" borderId="1" applyAlignment="1" pivotButton="0" quotePrefix="0" xfId="0">
      <alignment vertical="center" wrapText="1"/>
    </xf>
    <xf numFmtId="0" fontId="36" fillId="13" borderId="1" applyAlignment="1" pivotButton="0" quotePrefix="0" xfId="0">
      <alignment vertical="center" wrapText="1"/>
    </xf>
    <xf numFmtId="0" fontId="32" fillId="2" borderId="1" applyAlignment="1" pivotButton="0" quotePrefix="0" xfId="0">
      <alignment vertical="center" wrapText="1"/>
    </xf>
    <xf numFmtId="164" fontId="37" fillId="14" borderId="1" applyAlignment="1" pivotButton="0" quotePrefix="0" xfId="0">
      <alignment vertical="center" wrapText="1"/>
    </xf>
    <xf numFmtId="165" fontId="37" fillId="14" borderId="1" applyAlignment="1" pivotButton="0" quotePrefix="0" xfId="0">
      <alignment vertical="center" wrapText="1"/>
    </xf>
    <xf numFmtId="166" fontId="37" fillId="14" borderId="1" applyAlignment="1" pivotButton="0" quotePrefix="0" xfId="0">
      <alignment vertical="center" wrapText="1"/>
    </xf>
    <xf numFmtId="0" fontId="37" fillId="14" borderId="1" applyAlignment="1" pivotButton="0" quotePrefix="0" xfId="0">
      <alignment vertical="center" wrapText="1"/>
    </xf>
    <xf numFmtId="0" fontId="40" fillId="9" borderId="1" applyAlignment="1" pivotButton="0" quotePrefix="0" xfId="0">
      <alignment horizontal="center" vertical="center" wrapText="1"/>
    </xf>
    <xf numFmtId="1" fontId="33" fillId="11" borderId="1" applyAlignment="1" pivotButton="0" quotePrefix="0" xfId="0">
      <alignment vertical="center"/>
    </xf>
    <xf numFmtId="3" fontId="33" fillId="11" borderId="1" applyAlignment="1" pivotButton="0" quotePrefix="0" xfId="0">
      <alignment vertical="center"/>
    </xf>
    <xf numFmtId="0" fontId="38" fillId="9" borderId="1" applyAlignment="1" pivotButton="0" quotePrefix="0" xfId="0">
      <alignment horizontal="center" vertical="center"/>
    </xf>
    <xf numFmtId="166" fontId="32" fillId="0" borderId="1" applyAlignment="1" pivotButton="0" quotePrefix="0" xfId="0">
      <alignment vertical="center" wrapText="1"/>
    </xf>
    <xf numFmtId="166" fontId="32" fillId="5" borderId="1" applyAlignment="1" pivotButton="0" quotePrefix="0" xfId="0">
      <alignment vertical="center" wrapText="1"/>
    </xf>
    <xf numFmtId="166" fontId="32" fillId="12" borderId="1" applyAlignment="1" pivotButton="0" quotePrefix="0" xfId="0">
      <alignment vertical="center" wrapText="1"/>
    </xf>
    <xf numFmtId="9" fontId="32" fillId="0" borderId="1" applyAlignment="1" pivotButton="0" quotePrefix="0" xfId="0">
      <alignment vertical="center" wrapText="1"/>
    </xf>
    <xf numFmtId="169" fontId="32" fillId="12" borderId="1" applyAlignment="1" pivotButton="0" quotePrefix="0" xfId="0">
      <alignment vertical="center" wrapText="1"/>
    </xf>
    <xf numFmtId="169" fontId="32" fillId="5" borderId="1" applyAlignment="1" pivotButton="0" quotePrefix="0" xfId="0">
      <alignment vertical="center" wrapText="1"/>
    </xf>
    <xf numFmtId="169" fontId="32" fillId="0" borderId="1" applyAlignment="1" pivotButton="0" quotePrefix="0" xfId="0">
      <alignment vertical="center" wrapText="1"/>
    </xf>
    <xf numFmtId="0" fontId="32" fillId="6" borderId="1" applyAlignment="1" pivotButton="0" quotePrefix="0" xfId="0">
      <alignment vertical="center" wrapText="1"/>
    </xf>
    <xf numFmtId="169" fontId="32" fillId="6" borderId="1" applyAlignment="1" pivotButton="0" quotePrefix="0" xfId="0">
      <alignment vertical="center" wrapText="1"/>
    </xf>
    <xf numFmtId="169" fontId="33" fillId="11" borderId="1" applyAlignment="1" pivotButton="0" quotePrefix="0" xfId="0">
      <alignment vertical="center"/>
    </xf>
    <xf numFmtId="0" fontId="32" fillId="5" borderId="1" applyAlignment="1" pivotButton="0" quotePrefix="0" xfId="0">
      <alignment vertical="center" wrapText="1"/>
    </xf>
    <xf numFmtId="0" fontId="32" fillId="7" borderId="1" applyAlignment="1" pivotButton="0" quotePrefix="0" xfId="0">
      <alignment vertical="center" wrapText="1"/>
    </xf>
    <xf numFmtId="169" fontId="32" fillId="7" borderId="1" applyAlignment="1" pivotButton="0" quotePrefix="0" xfId="0">
      <alignment vertical="center" wrapText="1"/>
    </xf>
    <xf numFmtId="169" fontId="39" fillId="0" borderId="1" applyAlignment="1" pivotButton="0" quotePrefix="0" xfId="0">
      <alignment vertical="center" wrapText="1"/>
    </xf>
    <xf numFmtId="169" fontId="39" fillId="12" borderId="1" applyAlignment="1" pivotButton="0" quotePrefix="0" xfId="0">
      <alignment vertical="center" wrapText="1"/>
    </xf>
    <xf numFmtId="9" fontId="39" fillId="0" borderId="1" applyAlignment="1" pivotButton="0" quotePrefix="0" xfId="0">
      <alignment vertical="center" wrapText="1"/>
    </xf>
    <xf numFmtId="0" fontId="39" fillId="12" borderId="1" applyAlignment="1" pivotButton="0" quotePrefix="0" xfId="0">
      <alignment vertical="center" wrapText="1"/>
    </xf>
    <xf numFmtId="0" fontId="39" fillId="0" borderId="1" applyAlignment="1" pivotButton="0" quotePrefix="0" xfId="0">
      <alignment vertical="center" wrapText="1"/>
    </xf>
    <xf numFmtId="0" fontId="39" fillId="11" borderId="1" applyAlignment="1" pivotButton="0" quotePrefix="0" xfId="0">
      <alignment vertical="center"/>
    </xf>
    <xf numFmtId="165" fontId="39" fillId="12" borderId="1" applyAlignment="1" pivotButton="0" quotePrefix="0" xfId="0">
      <alignment vertical="center" wrapText="1"/>
    </xf>
    <xf numFmtId="0" fontId="39" fillId="2" borderId="1" applyAlignment="1" pivotButton="0" quotePrefix="0" xfId="0">
      <alignment vertical="center" wrapText="1"/>
    </xf>
    <xf numFmtId="168" fontId="39" fillId="12" borderId="1" applyAlignment="1" pivotButton="0" quotePrefix="0" xfId="0">
      <alignment vertical="center" wrapText="1"/>
    </xf>
    <xf numFmtId="168" fontId="32" fillId="12" borderId="1" applyAlignment="1" pivotButton="0" quotePrefix="0" xfId="0">
      <alignment vertical="center" wrapText="1"/>
    </xf>
    <xf numFmtId="168" fontId="39" fillId="8" borderId="1" applyAlignment="1" pivotButton="0" quotePrefix="0" xfId="0">
      <alignment vertical="center" wrapText="1"/>
    </xf>
    <xf numFmtId="168" fontId="32" fillId="8" borderId="1" applyAlignment="1" pivotButton="0" quotePrefix="0" xfId="0">
      <alignment vertical="center" wrapText="1"/>
    </xf>
    <xf numFmtId="165" fontId="39" fillId="0" borderId="1" applyAlignment="1" pivotButton="0" quotePrefix="0" xfId="0">
      <alignment vertical="center" wrapText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CC"/>
      <rgbColor rgb="FFFFFF00"/>
      <rgbColor rgb="FFFF00FF"/>
      <rgbColor rgb="FF00FFFF"/>
      <rgbColor rgb="FF800000"/>
      <rgbColor rgb="FF008000"/>
      <rgbColor rgb="FF000080"/>
      <rgbColor rgb="FFB8962E"/>
      <rgbColor rgb="FF800080"/>
      <rgbColor rgb="FF1A6B4A"/>
      <rgbColor rgb="FFC0C0C0"/>
      <rgbColor rgb="FF6B7A90"/>
      <rgbColor rgb="FF9999FF"/>
      <rgbColor rgb="FF993366"/>
      <rgbColor rgb="FFFBF6E9"/>
      <rgbColor rgb="FFE8F5EE"/>
      <rgbColor rgb="FF660066"/>
      <rgbColor rgb="FFFF8080"/>
      <rgbColor rgb="FF0066CC"/>
      <rgbColor rgb="FFE2E6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0FF"/>
      <rgbColor rgb="FFF2F4F7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D1E3A"/>
      <rgbColor rgb="FF339966"/>
      <rgbColor rgb="FF003300"/>
      <rgbColor rgb="FF1A1A2E"/>
      <rgbColor rgb="FF8B2020"/>
      <rgbColor rgb="FF993366"/>
      <rgbColor rgb="FF333399"/>
      <rgbColor rgb="FF2A3A52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Roadmap: Units Sold / Month</a:t>
            </a:r>
          </a:p>
        </rich>
      </tx>
    </title>
    <plotArea>
      <lineChart>
        <grouping val="standard"/>
        <ser>
          <idx val="0"/>
          <order val="0"/>
          <tx>
            <strRef>
              <f>'Roadmap KPIs'!C4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'Roadmap KPIs'!$A$5:$A$9</f>
            </numRef>
          </cat>
          <val>
            <numRef>
              <f>'Roadmap KPIs'!$C$5:$C$9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style val="13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Units Sold / Month</a:t>
            </a:r>
          </a:p>
        </rich>
      </tx>
    </title>
    <plotArea>
      <lineChart>
        <grouping val="standard"/>
        <ser>
          <idx val="0"/>
          <order val="0"/>
          <tx>
            <strRef>
              <f>'Roadmap KPIs'!C4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'Roadmap KPIs'!$A$5:$A$9</f>
            </numRef>
          </cat>
          <val>
            <numRef>
              <f>'Roadmap KPIs'!$C$5:$C$9</f>
            </numRef>
          </val>
        </ser>
        <dLbls>
          <showVal val="1"/>
        </dLbls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style val="10"/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Marketplace Apps / Agents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'Roadmap KPIs'!D4</f>
            </strRef>
          </tx>
          <spPr>
            <a:ln xmlns:a="http://schemas.openxmlformats.org/drawingml/2006/main">
              <a:prstDash val="solid"/>
            </a:ln>
          </spPr>
          <cat>
            <numRef>
              <f>'Roadmap KPIs'!$A$5:$A$9</f>
            </numRef>
          </cat>
          <val>
            <numRef>
              <f>'Roadmap KPIs'!$D$5:$D$9</f>
            </numRef>
          </val>
        </ser>
        <dLbls>
          <showVal val="1"/>
        </dLbls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Month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Apps / Agents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_rels/drawing2.xml.rels><Relationships xmlns="http://schemas.openxmlformats.org/package/2006/relationships"><Relationship Type="http://schemas.openxmlformats.org/officeDocument/2006/relationships/chart" Target="/xl/charts/chart2.xml" Id="rId1"/><Relationship Type="http://schemas.openxmlformats.org/officeDocument/2006/relationships/chart" Target="/xl/charts/chart3.xml" Id="rId2"/></Relationships>
</file>

<file path=xl/drawings/drawing1.xml><?xml version="1.0" encoding="utf-8"?>
<wsDr xmlns="http://schemas.openxmlformats.org/drawingml/2006/spreadsheetDrawing">
  <oneCellAnchor>
    <from>
      <col>4</col>
      <colOff>0</colOff>
      <row>3</row>
      <rowOff>0</rowOff>
    </from>
    <ext cx="504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drawings/drawing2.xml><?xml version="1.0" encoding="utf-8"?>
<wsDr xmlns="http://schemas.openxmlformats.org/drawingml/2006/spreadsheetDrawing">
  <oneCellAnchor>
    <from>
      <col>6</col>
      <colOff>0</colOff>
      <row>3</row>
      <rowOff>0</rowOff>
    </from>
    <ext cx="5400000" cy="27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6</col>
      <colOff>0</colOff>
      <row>18</row>
      <rowOff>0</rowOff>
    </from>
    <ext cx="5400000" cy="27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ables/table1.xml><?xml version="1.0" encoding="utf-8"?>
<table xmlns="http://schemas.openxmlformats.org/spreadsheetml/2006/main" id="1" name="RoadmapKPIs" displayName="RoadmapKPIs" ref="A4:E9" headerRowCount="1">
  <autoFilter ref="A4:E9"/>
  <tableColumns count="5">
    <tableColumn id="1" name="Month"/>
    <tableColumn id="2" name="RM Count"/>
    <tableColumn id="3" name="Units Sold / Month"/>
    <tableColumn id="4" name="Marketplace Apps / Agents"/>
    <tableColumn id="5" name="Mileston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2.xml" Id="rId1"/><Relationship Type="http://schemas.openxmlformats.org/officeDocument/2006/relationships/table" Target="/xl/tables/table1.xml" Id="rId2"/></Relationships>
</file>

<file path=xl/worksheets/sheet1.xml><?xml version="1.0" encoding="utf-8"?>
<worksheet xmlns="http://schemas.openxmlformats.org/spreadsheetml/2006/main">
  <sheetPr filterMode="0">
    <tabColor rgb="00D9B83F"/>
    <outlinePr summaryBelow="1" summaryRight="1"/>
    <pageSetUpPr fitToPage="0"/>
  </sheetPr>
  <dimension ref="A1:C34"/>
  <sheetViews>
    <sheetView showFormulas="0" showGridLines="0" showRowColHeaders="1" showZeros="1" rightToLeft="0" tabSelected="1" showOutlineSymbols="1" defaultGridColor="1" view="normal" topLeftCell="A1" colorId="64" zoomScale="90" zoomScaleNormal="100" zoomScalePageLayoutView="100" workbookViewId="0">
      <pane ySplit="3" topLeftCell="A4" activePane="bottomLeft" state="frozen"/>
      <selection pane="bottomLeft" activeCell="A1" activeCellId="0" sqref="A1"/>
    </sheetView>
  </sheetViews>
  <sheetFormatPr baseColWidth="8" defaultColWidth="8.6796875" defaultRowHeight="15" zeroHeight="0" outlineLevelRow="0"/>
  <cols>
    <col width="42" customWidth="1" style="51" min="1" max="1"/>
    <col width="20" customWidth="1" style="51" min="2" max="2"/>
    <col width="34" customWidth="1" style="51" min="3" max="3"/>
    <col width="4" customWidth="1" style="52" min="4" max="4"/>
    <col width="13" customWidth="1" style="52" min="5" max="5"/>
    <col width="13" customWidth="1" style="52" min="6" max="6"/>
    <col width="13" customWidth="1" style="52" min="7" max="7"/>
    <col width="13" customWidth="1" style="52" min="8" max="8"/>
    <col width="13" customWidth="1" style="52" min="9" max="9"/>
    <col width="13" customWidth="1" style="52" min="10" max="10"/>
    <col width="13" customWidth="1" style="52" min="11" max="11"/>
  </cols>
  <sheetData>
    <row r="1" ht="30" customHeight="1" s="52">
      <c r="A1" s="53" t="inlineStr">
        <is>
          <t>GLEMO — Investment Dashboard · AI Agent + Brokerage · Venture Capital</t>
        </is>
      </c>
      <c r="B1" s="54" t="n"/>
      <c r="C1" s="54" t="n"/>
    </row>
    <row r="2" ht="34" customHeight="1" s="52">
      <c r="A2" s="55" t="inlineStr">
        <is>
          <t>Web2 operating thesis: AI Agent + RM brokerage, with breakeven shown in month 4 of the model.</t>
        </is>
      </c>
      <c r="B2" s="54" t="n"/>
      <c r="C2" s="54" t="n"/>
    </row>
    <row r="3" ht="8" customHeight="1" s="52">
      <c r="A3" s="56" t="n"/>
      <c r="B3" s="56" t="n"/>
      <c r="C3" s="56" t="n"/>
    </row>
    <row r="4" ht="26" customHeight="1" s="52">
      <c r="A4" s="57" t="inlineStr">
        <is>
          <t>RAISE &amp; STRUCTURE</t>
        </is>
      </c>
      <c r="B4" s="57" t="n"/>
      <c r="C4" s="57" t="n"/>
    </row>
    <row r="5" ht="15" customHeight="1" s="52">
      <c r="A5" s="56" t="inlineStr">
        <is>
          <t>Pre-Seed round</t>
        </is>
      </c>
      <c r="B5" s="58" t="n">
        <v>2000000</v>
      </c>
      <c r="C5" s="59" t="inlineStr">
        <is>
          <t>SAFE · pure acceleration</t>
        </is>
      </c>
    </row>
    <row r="6" ht="15" customHeight="1" s="52">
      <c r="A6" s="60" t="inlineStr">
        <is>
          <t>Valuation cap</t>
        </is>
      </c>
      <c r="B6" s="61" t="n">
        <v>10000000</v>
      </c>
      <c r="C6" s="62" t="inlineStr">
        <is>
          <t>Lowest entry valuation</t>
        </is>
      </c>
    </row>
    <row r="7" ht="15" customHeight="1" s="52">
      <c r="A7" s="56" t="inlineStr">
        <is>
          <t>Discount</t>
        </is>
      </c>
      <c r="B7" s="63" t="n">
        <v>0.2</v>
      </c>
      <c r="C7" s="59" t="inlineStr">
        <is>
          <t>On potential Growth Round</t>
        </is>
      </c>
    </row>
    <row r="8">
      <c r="A8" s="60" t="n"/>
      <c r="B8" s="64" t="n"/>
      <c r="C8" s="62" t="n"/>
    </row>
    <row r="9" ht="26" customHeight="1" s="52">
      <c r="A9" s="65" t="inlineStr">
        <is>
          <t>CONSERVATIVE PROJECTIONS</t>
        </is>
      </c>
      <c r="B9" s="66" t="n"/>
      <c r="C9" s="67" t="n"/>
    </row>
    <row r="10" ht="15" customHeight="1" s="52">
      <c r="A10" s="60" t="inlineStr">
        <is>
          <t>Peak gross run-rate (exit M24, annual.)</t>
        </is>
      </c>
      <c r="B10" s="61" t="n">
        <v>27572308</v>
      </c>
      <c r="C10" s="62" t="inlineStr">
        <is>
          <t>40 total RMs; 1,000 units/mo at peak</t>
        </is>
      </c>
    </row>
    <row r="11" ht="15" customHeight="1" s="52">
      <c r="A11" s="56" t="inlineStr">
        <is>
          <t>Y1 net revenue</t>
        </is>
      </c>
      <c r="B11" s="58" t="n">
        <v>5776936</v>
      </c>
      <c r="C11" s="59" t="inlineStr">
        <is>
          <t>Ramp year</t>
        </is>
      </c>
    </row>
    <row r="12" ht="15" customHeight="1" s="52">
      <c r="A12" s="60" t="inlineStr">
        <is>
          <t>Y2 net revenue</t>
        </is>
      </c>
      <c r="B12" s="61" t="n">
        <v>23059713</v>
      </c>
      <c r="C12" s="62" t="inlineStr">
        <is>
          <t>Near-peak + seasonality</t>
        </is>
      </c>
    </row>
    <row r="13" ht="15" customHeight="1" s="52">
      <c r="A13" s="56" t="inlineStr">
        <is>
          <t>24-month cumulative</t>
        </is>
      </c>
      <c r="B13" s="58" t="n">
        <v>28836650</v>
      </c>
      <c r="C13" s="59" t="inlineStr">
        <is>
          <t>Total net revenue</t>
        </is>
      </c>
    </row>
    <row r="14" ht="15" customHeight="1" s="52">
      <c r="A14" s="60" t="inlineStr">
        <is>
          <t>Breakeven</t>
        </is>
      </c>
      <c r="B14" s="64" t="inlineStr">
        <is>
          <t>Month 4 (Oct-26)</t>
        </is>
      </c>
      <c r="C14" s="62" t="inlineStr">
        <is>
          <t>EBITDA positive &amp; sustained</t>
        </is>
      </c>
    </row>
    <row r="15" ht="15" customHeight="1" s="52">
      <c r="A15" s="56" t="inlineStr">
        <is>
          <t>Ending cash M24</t>
        </is>
      </c>
      <c r="B15" s="58" t="n">
        <v>12547891</v>
      </c>
      <c r="C15" s="59" t="inlineStr">
        <is>
          <t>Self-funded</t>
        </is>
      </c>
    </row>
    <row r="16">
      <c r="A16" s="60" t="n"/>
      <c r="B16" s="64" t="n"/>
      <c r="C16" s="62" t="n"/>
    </row>
    <row r="17" ht="26" customHeight="1" s="52">
      <c r="A17" s="65" t="inlineStr">
        <is>
          <t>THE TWO-ROUND THESIS</t>
        </is>
      </c>
      <c r="B17" s="66" t="n"/>
      <c r="C17" s="67" t="n"/>
    </row>
    <row r="18" ht="15" customHeight="1" s="52">
      <c r="A18" s="60" t="inlineStr">
        <is>
          <t>Potential Growth Round</t>
        </is>
      </c>
      <c r="B18" s="61" t="n">
        <v>20000000</v>
      </c>
      <c r="C18" s="62" t="inlineStr">
        <is>
          <t>Month 12-18, subject to proof</t>
        </is>
      </c>
    </row>
    <row r="19" ht="15" customHeight="1" s="52">
      <c r="A19" s="56" t="inlineStr">
        <is>
          <t>Growth Round post-money range</t>
        </is>
      </c>
      <c r="B19" s="68" t="inlineStr">
        <is>
          <t>USD 60–80M</t>
        </is>
      </c>
      <c r="C19" s="59" t="inlineStr">
        <is>
          <t>At proven traction</t>
        </is>
      </c>
    </row>
    <row r="20" ht="15" customHeight="1" s="52">
      <c r="A20" s="60" t="inlineStr">
        <is>
          <t>Illustrative investor markup</t>
        </is>
      </c>
      <c r="B20" s="69" t="inlineStr">
        <is>
          <t>~4-6x illustrative</t>
        </is>
      </c>
      <c r="C20" s="62" t="inlineStr">
        <is>
          <t>From USD 10M cap entry</t>
        </is>
      </c>
    </row>
    <row r="21" ht="15" customHeight="1" s="52">
      <c r="A21" s="56" t="inlineStr">
        <is>
          <t>Strategy</t>
        </is>
      </c>
      <c r="B21" s="68" t="inlineStr">
        <is>
          <t>Enter early → prove → scale</t>
        </is>
      </c>
      <c r="C21" s="59" t="inlineStr">
        <is>
          <t>Pre-seed de-risks the Growth Round</t>
        </is>
      </c>
    </row>
    <row r="22">
      <c r="A22" s="60" t="n"/>
      <c r="B22" s="64" t="n"/>
      <c r="C22" s="62" t="n"/>
    </row>
    <row r="23" ht="24" customHeight="1" s="52">
      <c r="A23" s="65" t="inlineStr">
        <is>
          <t>SALES TEAM ECONOMICS</t>
        </is>
      </c>
      <c r="B23" s="66" t="n"/>
      <c r="C23" s="67" t="n"/>
    </row>
    <row r="24" ht="15" customHeight="1" s="52">
      <c r="A24" s="60" t="inlineStr">
        <is>
          <t>RMs at peak</t>
        </is>
      </c>
      <c r="B24" s="64" t="inlineStr">
        <is>
          <t>40 total / 6 managers</t>
        </is>
      </c>
      <c r="C24" s="62" t="inlineStr">
        <is>
          <t>2→25 in 6 months; 25→40 by M12</t>
        </is>
      </c>
    </row>
    <row r="25" ht="26" customHeight="1" s="52">
      <c r="A25" s="56" t="inlineStr">
        <is>
          <t>Units per RM/mo</t>
        </is>
      </c>
      <c r="B25" s="68" t="inlineStr">
        <is>
          <t>25</t>
        </is>
      </c>
      <c r="C25" s="59" t="inlineStr">
        <is>
          <t>At capacity</t>
        </is>
      </c>
    </row>
    <row r="26" ht="15" customHeight="1" s="52">
      <c r="A26" s="60" t="inlineStr">
        <is>
          <t>Revenue mix</t>
        </is>
      </c>
      <c r="B26" s="64" t="inlineStr">
        <is>
          <t>90% domestic / 10% cross-border</t>
        </is>
      </c>
      <c r="C26" s="62" t="inlineStr">
        <is>
          <t>Expand abroad after proof points</t>
        </is>
      </c>
    </row>
    <row r="27" ht="15" customHeight="1" s="52">
      <c r="A27" s="56" t="inlineStr">
        <is>
          <t>RM cost/mo</t>
        </is>
      </c>
      <c r="B27" s="68" t="inlineStr">
        <is>
          <t>USD 600</t>
        </is>
      </c>
      <c r="C27" s="59" t="inlineStr">
        <is>
          <t>Highly capital-efficient</t>
        </is>
      </c>
    </row>
    <row r="28">
      <c r="A28" s="60" t="n"/>
      <c r="B28" s="64" t="n"/>
      <c r="C28" s="62" t="n"/>
    </row>
    <row r="29" ht="24" customHeight="1" s="52">
      <c r="A29" s="65" t="inlineStr">
        <is>
          <t>CLIENT TARGETS AT PEAK</t>
        </is>
      </c>
      <c r="B29" s="66" t="n"/>
      <c r="C29" s="67" t="n"/>
    </row>
    <row r="30" ht="15" customHeight="1" s="52">
      <c r="A30" s="60" t="inlineStr">
        <is>
          <t>Anchor clients</t>
        </is>
      </c>
      <c r="B30" s="64" t="inlineStr">
        <is>
          <t>MRV · Vivaz/Cyrela · Canopus</t>
        </is>
      </c>
      <c r="C30" s="62" t="inlineStr">
        <is>
          <t>Signed publicly-listed partners</t>
        </is>
      </c>
    </row>
    <row r="31" ht="15" customHeight="1" s="52">
      <c r="A31" s="56" t="inlineStr">
        <is>
          <t>Also</t>
        </is>
      </c>
      <c r="B31" s="68" t="inlineStr">
        <is>
          <t>Lopes · BRZ · Rôgga</t>
        </is>
      </c>
      <c r="C31" s="59" t="inlineStr">
        <is>
          <t>Conversion + active pilots</t>
        </is>
      </c>
    </row>
    <row r="32" ht="15" customHeight="1" s="52">
      <c r="A32" s="60" t="inlineStr">
        <is>
          <t>Peak capacity</t>
        </is>
      </c>
      <c r="B32" s="64" t="inlineStr">
        <is>
          <t>1,000 units/mo</t>
        </is>
      </c>
      <c r="C32" s="62" t="inlineStr">
        <is>
          <t>Peak sold volume across client base</t>
        </is>
      </c>
    </row>
    <row r="33" ht="26" customHeight="1" s="52">
      <c r="A33" s="56" t="n"/>
      <c r="B33" s="68" t="n"/>
      <c r="C33" s="59" t="n"/>
    </row>
    <row r="34" ht="15" customHeight="1" s="52">
      <c r="A34" s="60" t="inlineStr">
        <is>
          <t>Growth Round only after proof points.</t>
        </is>
      </c>
      <c r="B34" s="64" t="n"/>
      <c r="C34" s="62" t="n"/>
    </row>
  </sheetData>
  <mergeCells count="8">
    <mergeCell ref="A1:C1"/>
    <mergeCell ref="A23:C23"/>
    <mergeCell ref="A17:C17"/>
    <mergeCell ref="A9:C9"/>
    <mergeCell ref="A34:C34"/>
    <mergeCell ref="A29:C29"/>
    <mergeCell ref="A4:C4"/>
    <mergeCell ref="A2:C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  <drawing xmlns:r="http://schemas.openxmlformats.org/officeDocument/2006/relationships" r:id="rId1"/>
</worksheet>
</file>

<file path=xl/worksheets/sheet2.xml><?xml version="1.0" encoding="utf-8"?>
<worksheet xmlns="http://schemas.openxmlformats.org/spreadsheetml/2006/main">
  <sheetPr filterMode="0">
    <tabColor rgb="003B82F6"/>
    <outlinePr summaryBelow="1" summaryRight="1"/>
    <pageSetUpPr fitToPage="0"/>
  </sheetPr>
  <dimension ref="A1:D91"/>
  <sheetViews>
    <sheetView showFormulas="0" showGridLines="0" showRowColHeaders="1" showZeros="1" rightToLeft="0" tabSelected="0" showOutlineSymbols="1" defaultGridColor="1" view="normal" topLeftCell="A1" colorId="64" zoomScale="90" zoomScaleNormal="100" zoomScalePageLayoutView="100" workbookViewId="0">
      <pane ySplit="3" topLeftCell="A4" activePane="bottomLeft" state="frozen"/>
      <selection pane="bottomLeft" activeCell="A1" activeCellId="0" sqref="A1"/>
    </sheetView>
  </sheetViews>
  <sheetFormatPr baseColWidth="8" defaultColWidth="8.6796875" defaultRowHeight="15" zeroHeight="0" outlineLevelRow="0"/>
  <cols>
    <col width="42" customWidth="1" style="51" min="1" max="1"/>
    <col width="18" customWidth="1" style="51" min="2" max="2"/>
    <col width="10" customWidth="1" style="51" min="3" max="3"/>
    <col width="52" customWidth="1" style="51" min="4" max="4"/>
  </cols>
  <sheetData>
    <row r="1" ht="30" customHeight="1" s="52">
      <c r="A1" s="53" t="inlineStr">
        <is>
          <t>GLEMO — Financial Model · AI Agent + Brokerage · Venture Capital Version</t>
        </is>
      </c>
      <c r="B1" s="54" t="n"/>
      <c r="C1" s="54" t="n"/>
      <c r="D1" s="54" t="n"/>
    </row>
    <row r="2" ht="34" customHeight="1" s="52">
      <c r="A2" s="55" t="inlineStr">
        <is>
          <t>Inputs in blue. Period Jul 2026-Jun 2028 (24 months). Conservative bottom-up. Peak sold volume reaches ~1,000 units/mo and exit run-rate is ~USD 27.6M/yr.</t>
        </is>
      </c>
      <c r="B2" s="54" t="n"/>
      <c r="C2" s="54" t="n"/>
      <c r="D2" s="54" t="n"/>
    </row>
    <row r="3" ht="8" customHeight="1" s="52">
      <c r="A3" s="56" t="n"/>
      <c r="B3" s="56" t="n"/>
      <c r="C3" s="56" t="n"/>
      <c r="D3" s="56" t="n"/>
    </row>
    <row r="4" ht="16.5" customHeight="1" s="52">
      <c r="A4" s="70" t="inlineStr">
        <is>
          <t>MARKET INPUTS  (90% domestic / 10% cross-border)</t>
        </is>
      </c>
      <c r="B4" s="60" t="n"/>
      <c r="C4" s="60" t="n"/>
      <c r="D4" s="60" t="n"/>
    </row>
    <row r="5" ht="15" customHeight="1" s="52">
      <c r="A5" s="56" t="inlineStr">
        <is>
          <t>USD/BRL rate</t>
        </is>
      </c>
      <c r="B5" s="71" t="n">
        <v>5.2</v>
      </c>
      <c r="C5" s="56" t="n"/>
      <c r="D5" s="59" t="inlineStr">
        <is>
          <t>Conservative FX</t>
        </is>
      </c>
    </row>
    <row r="6" ht="15" customHeight="1" s="52">
      <c r="A6" s="60" t="inlineStr">
        <is>
          <t>Commission rate</t>
        </is>
      </c>
      <c r="B6" s="72" t="n">
        <v>0.025</v>
      </c>
      <c r="C6" s="60" t="n"/>
      <c r="D6" s="62" t="inlineStr">
        <is>
          <t>Blended brokerage commission</t>
        </is>
      </c>
    </row>
    <row r="7" ht="15" customHeight="1" s="52">
      <c r="A7" s="56" t="inlineStr">
        <is>
          <t>EBITDA margin (% of gross commission)</t>
        </is>
      </c>
      <c r="B7" s="72" t="n">
        <v>0.4</v>
      </c>
      <c r="C7" s="56" t="n"/>
      <c r="D7" s="59" t="inlineStr">
        <is>
          <t>After taxes, media, full RM cost</t>
        </is>
      </c>
    </row>
    <row r="8" ht="15" customHeight="1" s="52">
      <c r="A8" s="60" t="inlineStr">
        <is>
          <t>Domestic avg ticket (BRL)</t>
        </is>
      </c>
      <c r="B8" s="73" t="n">
        <v>460000</v>
      </c>
      <c r="C8" s="60" t="n"/>
      <c r="D8" s="62" t="inlineStr">
        <is>
          <t>Economy R$450K + Rôgga premium R$800K</t>
        </is>
      </c>
    </row>
    <row r="9" ht="15" customHeight="1" s="52">
      <c r="A9" s="56" t="inlineStr">
        <is>
          <t>Domestic share of units</t>
        </is>
      </c>
      <c r="B9" s="72" t="n">
        <v>0.9</v>
      </c>
      <c r="C9" s="56" t="n"/>
      <c r="D9" s="59" t="inlineStr">
        <is>
          <t>90% domestic pre-seed; cross-border treated as smaller upside corridor</t>
        </is>
      </c>
    </row>
    <row r="10" ht="24" customHeight="1" s="52">
      <c r="A10" s="57" t="inlineStr">
        <is>
          <t>SALES TEAM — RELATIONSHIP MANAGERS</t>
        </is>
      </c>
      <c r="B10" s="57" t="n"/>
      <c r="C10" s="57" t="n"/>
      <c r="D10" s="67" t="n"/>
    </row>
    <row r="11" ht="15" customHeight="1" s="52">
      <c r="A11" s="56" t="inlineStr">
        <is>
          <t>RMs today</t>
        </is>
      </c>
      <c r="B11" s="73" t="n">
        <v>2</v>
      </c>
      <c r="C11" s="56" t="n"/>
      <c r="D11" s="59" t="inlineStr">
        <is>
          <t>Starting point</t>
        </is>
      </c>
    </row>
    <row r="12" ht="15" customHeight="1" s="52">
      <c r="A12" s="60" t="inlineStr">
        <is>
          <t>RMs at month 6 (target)</t>
        </is>
      </c>
      <c r="B12" s="73" t="n">
        <v>25</v>
      </c>
      <c r="C12" s="60" t="n"/>
      <c r="D12" s="62" t="inlineStr">
        <is>
          <t>Ramp 2 → 25 in 6 months</t>
        </is>
      </c>
    </row>
    <row r="13" ht="15" customHeight="1" s="52">
      <c r="A13" s="56" t="inlineStr">
        <is>
          <t>Units per RM per month (at capacity)</t>
        </is>
      </c>
      <c r="B13" s="73" t="n">
        <v>25</v>
      </c>
      <c r="C13" s="56" t="n"/>
      <c r="D13" s="59" t="inlineStr">
        <is>
          <t>Full productivity; 40 total RMs at maturity implies ~1,000 units/month at peak</t>
        </is>
      </c>
    </row>
    <row r="14" ht="15" customHeight="1" s="52">
      <c r="A14" s="60" t="inlineStr">
        <is>
          <t>RM salary (USD/mo)</t>
        </is>
      </c>
      <c r="B14" s="73" t="n">
        <v>600</v>
      </c>
      <c r="C14" s="60" t="n"/>
      <c r="D14" s="62" t="inlineStr">
        <is>
          <t>Fixed cost per RM</t>
        </is>
      </c>
    </row>
    <row r="15" ht="15" customHeight="1" s="52">
      <c r="A15" s="56" t="inlineStr">
        <is>
          <t>Peak capacity (units/mo)</t>
        </is>
      </c>
      <c r="B15" s="73" t="n">
        <v>1000</v>
      </c>
      <c r="C15" s="56" t="n"/>
      <c r="D15" s="59" t="inlineStr">
        <is>
          <t>40 total RMs x 25 units/month; includes 6 team leads/managers</t>
        </is>
      </c>
    </row>
    <row r="16" ht="15" customHeight="1" s="52">
      <c r="A16" s="60" t="inlineStr">
        <is>
          <t>Peak GROSS commission run-rate (USD/yr)</t>
        </is>
      </c>
      <c r="B16" s="73" t="n">
        <v>27572308</v>
      </c>
      <c r="C16" s="60" t="n"/>
      <c r="D16" s="62" t="inlineStr">
        <is>
          <t>90% domestic + 10% cross-border at peak</t>
        </is>
      </c>
    </row>
    <row r="17">
      <c r="A17" s="56" t="inlineStr">
        <is>
          <t>RMs at month 12 (target)</t>
        </is>
      </c>
      <c r="B17" s="74" t="n">
        <v>40</v>
      </c>
      <c r="C17" s="56" t="n"/>
      <c r="D17" s="59" t="inlineStr">
        <is>
          <t>25 by month 6, then 40 by month 12; 6 of the 40 are managers/team leads</t>
        </is>
      </c>
    </row>
    <row r="18" ht="16.5" customHeight="1" s="52">
      <c r="A18" s="70" t="inlineStr">
        <is>
          <t>UTILIZATION RAMP (% of capacity sold)</t>
        </is>
      </c>
      <c r="B18" s="60" t="n"/>
      <c r="C18" s="60" t="n"/>
      <c r="D18" s="62" t="n"/>
    </row>
    <row r="19" ht="15" customHeight="1" s="52">
      <c r="A19" s="56" t="inlineStr">
        <is>
          <t>Ramp reflects RM onboarding curve + seasonality (hot Apr–Oct). Y1 avg ~28%, Y2 avg ~80%.</t>
        </is>
      </c>
      <c r="B19" s="56" t="n"/>
      <c r="C19" s="56" t="n"/>
      <c r="D19" s="59" t="n"/>
    </row>
    <row r="20" ht="15" customHeight="1" s="52">
      <c r="A20" s="60" t="inlineStr">
        <is>
          <t>Y1 average utilization</t>
        </is>
      </c>
      <c r="B20" s="72" t="n">
        <v>0.28</v>
      </c>
      <c r="C20" s="60" t="n"/>
      <c r="D20" s="62" t="inlineStr">
        <is>
          <t>Ramp year — team building + early traction</t>
        </is>
      </c>
    </row>
    <row r="21" ht="15" customHeight="1" s="52">
      <c r="A21" s="56" t="inlineStr">
        <is>
          <t>Y2 average utilization</t>
        </is>
      </c>
      <c r="B21" s="72" t="n">
        <v>0.8</v>
      </c>
      <c r="C21" s="56" t="n"/>
      <c r="D21" s="59" t="inlineStr">
        <is>
          <t>Near-peak with seasonality</t>
        </is>
      </c>
    </row>
    <row r="22">
      <c r="A22" s="60" t="n"/>
      <c r="B22" s="60" t="n"/>
      <c r="C22" s="60" t="n"/>
      <c r="D22" s="62" t="n"/>
    </row>
    <row r="23" ht="24" customHeight="1" s="52">
      <c r="A23" s="57" t="inlineStr">
        <is>
          <t>AI AGENT SAAS</t>
        </is>
      </c>
      <c r="B23" s="57" t="n"/>
      <c r="C23" s="57" t="n"/>
      <c r="D23" s="67" t="n"/>
    </row>
    <row r="24" ht="15" customHeight="1" s="52">
      <c r="A24" s="60" t="inlineStr">
        <is>
          <t>Large clients today</t>
        </is>
      </c>
      <c r="B24" s="73" t="n">
        <v>2</v>
      </c>
      <c r="C24" s="60" t="n"/>
      <c r="D24" s="62" t="inlineStr">
        <is>
          <t>Enterprise homebuilders</t>
        </is>
      </c>
    </row>
    <row r="25" ht="15" customHeight="1" s="52">
      <c r="A25" s="56" t="inlineStr">
        <is>
          <t>Large clients month 24</t>
        </is>
      </c>
      <c r="B25" s="73" t="n">
        <v>12</v>
      </c>
      <c r="C25" s="56" t="n"/>
      <c r="D25" s="59" t="inlineStr">
        <is>
          <t>Ramp</t>
        </is>
      </c>
    </row>
    <row r="26" ht="15" customHeight="1" s="52">
      <c r="A26" s="60" t="inlineStr">
        <is>
          <t>Large client (BRL/mo)</t>
        </is>
      </c>
      <c r="B26" s="73" t="n">
        <v>25000</v>
      </c>
      <c r="C26" s="60" t="n"/>
      <c r="D26" s="62" t="inlineStr">
        <is>
          <t>Enterprise SaaS fee</t>
        </is>
      </c>
    </row>
    <row r="27" ht="15" customHeight="1" s="52">
      <c r="A27" s="56" t="inlineStr">
        <is>
          <t>Small clients today</t>
        </is>
      </c>
      <c r="B27" s="73" t="n">
        <v>4</v>
      </c>
      <c r="C27" s="56" t="n"/>
      <c r="D27" s="59" t="inlineStr">
        <is>
          <t>SMB agencies</t>
        </is>
      </c>
    </row>
    <row r="28" ht="15" customHeight="1" s="52">
      <c r="A28" s="60" t="inlineStr">
        <is>
          <t>Small clients month 24</t>
        </is>
      </c>
      <c r="B28" s="73" t="n">
        <v>50</v>
      </c>
      <c r="C28" s="60" t="n"/>
      <c r="D28" s="62" t="inlineStr">
        <is>
          <t>Ramp</t>
        </is>
      </c>
    </row>
    <row r="29" ht="15" customHeight="1" s="52">
      <c r="A29" s="56" t="inlineStr">
        <is>
          <t>Small client (BRL/mo)</t>
        </is>
      </c>
      <c r="B29" s="73" t="n">
        <v>1000</v>
      </c>
      <c r="C29" s="56" t="n"/>
      <c r="D29" s="59" t="inlineStr">
        <is>
          <t>SMB SaaS fee</t>
        </is>
      </c>
    </row>
    <row r="30" ht="15" customHeight="1" s="52">
      <c r="A30" s="60" t="inlineStr">
        <is>
          <t>SaaS net margin</t>
        </is>
      </c>
      <c r="B30" s="72" t="n">
        <v>0.5</v>
      </c>
      <c r="C30" s="60" t="n"/>
      <c r="D30" s="62" t="inlineStr">
        <is>
          <t>After infra/support</t>
        </is>
      </c>
    </row>
    <row r="31">
      <c r="A31" s="56" t="n"/>
      <c r="B31" s="56" t="n"/>
      <c r="C31" s="56" t="n"/>
      <c r="D31" s="59" t="n"/>
    </row>
    <row r="32" ht="24" customHeight="1" s="52">
      <c r="A32" s="57" t="inlineStr">
        <is>
          <t>COSTS &amp; STRUCTURE</t>
        </is>
      </c>
      <c r="B32" s="57" t="n"/>
      <c r="C32" s="57" t="n"/>
      <c r="D32" s="67" t="n"/>
    </row>
    <row r="33" ht="15" customHeight="1" s="52">
      <c r="A33" s="56" t="inlineStr">
        <is>
          <t>Corporate overhead (USD/mo)</t>
        </is>
      </c>
      <c r="B33" s="73" t="n">
        <v>45000</v>
      </c>
      <c r="C33" s="56" t="n"/>
      <c r="D33" s="59" t="inlineStr">
        <is>
          <t>Existing team, infra, admin, G&amp;A — RM cost already in 40%</t>
        </is>
      </c>
    </row>
    <row r="34" ht="15" customHeight="1" s="52">
      <c r="A34" s="60" t="inlineStr">
        <is>
          <t>Round size — Pre-Seed (USD)</t>
        </is>
      </c>
      <c r="B34" s="73" t="n">
        <v>2000000</v>
      </c>
      <c r="C34" s="60" t="n"/>
      <c r="D34" s="62" t="inlineStr">
        <is>
          <t>SAFE</t>
        </is>
      </c>
    </row>
    <row r="35" ht="15" customHeight="1" s="52">
      <c r="A35" s="56" t="inlineStr">
        <is>
          <t>Valuation cap (USD)</t>
        </is>
      </c>
      <c r="B35" s="73" t="n">
        <v>10000000</v>
      </c>
      <c r="C35" s="56" t="n"/>
      <c r="D35" s="59" t="inlineStr">
        <is>
          <t>SAFE cap — conservative entry</t>
        </is>
      </c>
    </row>
    <row r="36" ht="15" customHeight="1" s="52">
      <c r="A36" s="60" t="inlineStr">
        <is>
          <t>Discount</t>
        </is>
      </c>
      <c r="B36" s="72" t="n">
        <v>0.2</v>
      </c>
      <c r="C36" s="60" t="n"/>
      <c r="D36" s="62" t="inlineStr">
        <is>
          <t>On next round</t>
        </is>
      </c>
    </row>
    <row r="37">
      <c r="A37" s="56" t="n"/>
      <c r="B37" s="56" t="n"/>
      <c r="C37" s="56" t="n"/>
      <c r="D37" s="59" t="n"/>
    </row>
    <row r="38" ht="24" customHeight="1" s="52">
      <c r="A38" s="57" t="inlineStr">
        <is>
          <t>GROWTH ROUND - 12-18 MONTHS</t>
        </is>
      </c>
      <c r="B38" s="57" t="n"/>
      <c r="C38" s="57" t="n"/>
      <c r="D38" s="67" t="n"/>
    </row>
    <row r="39" ht="15" customHeight="1" s="52">
      <c r="A39" s="56" t="inlineStr">
        <is>
          <t>The pre-seed proves the model; a potential Growth Round funds heavier scale only if proof points are met.</t>
        </is>
      </c>
      <c r="B39" s="56" t="n"/>
      <c r="C39" s="56" t="n"/>
      <c r="D39" s="59" t="n"/>
    </row>
    <row r="40" ht="15" customHeight="1" s="52">
      <c r="A40" s="60" t="inlineStr">
        <is>
          <t>Potential Growth Round target (USD)</t>
        </is>
      </c>
      <c r="B40" s="73" t="n">
        <v>20000000</v>
      </c>
      <c r="C40" s="60" t="n"/>
      <c r="D40" s="62" t="inlineStr">
        <is>
          <t>Up to USD 20M, subject to proof points and market conditions</t>
        </is>
      </c>
    </row>
    <row r="41" ht="15" customHeight="1" s="52">
      <c r="A41" s="56" t="inlineStr">
        <is>
          <t>Growth Round timing (month)</t>
        </is>
      </c>
      <c r="B41" s="73" t="n">
        <v>15</v>
      </c>
      <c r="C41" s="56" t="n"/>
      <c r="D41" s="59" t="inlineStr">
        <is>
          <t>Window: month 12–18</t>
        </is>
      </c>
    </row>
    <row r="42" ht="15" customHeight="1" s="52">
      <c r="A42" s="60" t="inlineStr">
        <is>
          <t>Growth Round post-money - conservative (USD)</t>
        </is>
      </c>
      <c r="B42" s="73" t="n">
        <v>60000000</v>
      </c>
      <c r="C42" s="60" t="n"/>
      <c r="D42" s="62" t="inlineStr">
        <is>
          <t>Defensible at proven traction</t>
        </is>
      </c>
    </row>
    <row r="43" ht="15" customHeight="1" s="52">
      <c r="A43" s="56" t="inlineStr">
        <is>
          <t>Growth Round post-money - base (USD)</t>
        </is>
      </c>
      <c r="B43" s="73" t="n">
        <v>80000000</v>
      </c>
      <c r="C43" s="56" t="n"/>
      <c r="D43" s="59" t="inlineStr">
        <is>
          <t>With strong run-rate</t>
        </is>
      </c>
    </row>
    <row r="44">
      <c r="A44" s="60" t="n"/>
      <c r="B44" s="60" t="n"/>
      <c r="C44" s="60" t="n"/>
      <c r="D44" s="62" t="n"/>
    </row>
    <row r="45">
      <c r="A45" s="56" t="n"/>
      <c r="B45" s="56" t="n"/>
      <c r="C45" s="56" t="n"/>
      <c r="D45" s="59" t="n"/>
    </row>
    <row r="46">
      <c r="A46" s="60" t="n"/>
      <c r="B46" s="60" t="n"/>
      <c r="C46" s="60" t="n"/>
      <c r="D46" s="62" t="n"/>
    </row>
    <row r="47">
      <c r="A47" s="56" t="n"/>
      <c r="B47" s="56" t="n"/>
      <c r="C47" s="56" t="n"/>
      <c r="D47" s="59" t="n"/>
    </row>
    <row r="48">
      <c r="A48" s="60" t="n"/>
      <c r="B48" s="60" t="n"/>
      <c r="C48" s="60" t="n"/>
      <c r="D48" s="62" t="n"/>
    </row>
    <row r="49">
      <c r="A49" s="56" t="n"/>
      <c r="B49" s="56" t="n"/>
      <c r="C49" s="56" t="n"/>
      <c r="D49" s="59" t="n"/>
    </row>
    <row r="50">
      <c r="A50" s="60" t="n"/>
      <c r="B50" s="60" t="n"/>
      <c r="C50" s="60" t="n"/>
      <c r="D50" s="62" t="n"/>
    </row>
    <row r="51">
      <c r="A51" s="56" t="n"/>
      <c r="B51" s="56" t="n"/>
      <c r="C51" s="56" t="n"/>
      <c r="D51" s="59" t="n"/>
    </row>
    <row r="52">
      <c r="A52" s="60" t="n"/>
      <c r="B52" s="60" t="n"/>
      <c r="C52" s="60" t="n"/>
      <c r="D52" s="62" t="n"/>
    </row>
    <row r="53">
      <c r="A53" s="56" t="n"/>
      <c r="B53" s="56" t="n"/>
      <c r="C53" s="56" t="n"/>
      <c r="D53" s="59" t="n"/>
    </row>
    <row r="54">
      <c r="A54" s="60" t="n"/>
      <c r="B54" s="60" t="n"/>
      <c r="C54" s="60" t="n"/>
      <c r="D54" s="62" t="n"/>
    </row>
    <row r="55">
      <c r="A55" s="56" t="n"/>
      <c r="B55" s="56" t="n"/>
      <c r="C55" s="56" t="n"/>
      <c r="D55" s="59" t="n"/>
    </row>
    <row r="56">
      <c r="A56" s="60" t="n"/>
      <c r="B56" s="60" t="n"/>
      <c r="C56" s="60" t="n"/>
      <c r="D56" s="62" t="n"/>
    </row>
    <row r="57">
      <c r="A57" s="56" t="n"/>
      <c r="B57" s="56" t="n"/>
      <c r="C57" s="56" t="n"/>
      <c r="D57" s="59" t="n"/>
    </row>
    <row r="58">
      <c r="A58" s="60" t="n"/>
      <c r="B58" s="60" t="n"/>
      <c r="C58" s="60" t="n"/>
      <c r="D58" s="62" t="n"/>
    </row>
    <row r="59">
      <c r="A59" s="56" t="n"/>
      <c r="B59" s="56" t="n"/>
      <c r="C59" s="56" t="n"/>
      <c r="D59" s="59" t="n"/>
    </row>
    <row r="60">
      <c r="A60" s="60" t="n"/>
      <c r="B60" s="60" t="n"/>
      <c r="C60" s="60" t="n"/>
      <c r="D60" s="62" t="n"/>
    </row>
    <row r="61">
      <c r="A61" s="56" t="n"/>
      <c r="B61" s="56" t="n"/>
      <c r="C61" s="56" t="n"/>
      <c r="D61" s="59" t="n"/>
    </row>
    <row r="62">
      <c r="A62" s="60" t="n"/>
      <c r="B62" s="60" t="n"/>
      <c r="C62" s="60" t="n"/>
      <c r="D62" s="62" t="n"/>
    </row>
    <row r="63">
      <c r="A63" s="56" t="n"/>
      <c r="B63" s="56" t="n"/>
      <c r="C63" s="56" t="n"/>
      <c r="D63" s="59" t="n"/>
    </row>
    <row r="64">
      <c r="A64" s="60" t="n"/>
      <c r="B64" s="60" t="n"/>
      <c r="C64" s="60" t="n"/>
      <c r="D64" s="62" t="n"/>
    </row>
    <row r="65">
      <c r="A65" s="56" t="n"/>
      <c r="B65" s="56" t="n"/>
      <c r="C65" s="56" t="n"/>
      <c r="D65" s="59" t="n"/>
    </row>
    <row r="66">
      <c r="A66" s="60" t="n"/>
      <c r="B66" s="60" t="n"/>
      <c r="C66" s="60" t="n"/>
      <c r="D66" s="62" t="n"/>
    </row>
    <row r="67">
      <c r="A67" s="56" t="n"/>
      <c r="B67" s="56" t="n"/>
      <c r="C67" s="56" t="n"/>
      <c r="D67" s="59" t="n"/>
    </row>
    <row r="68">
      <c r="A68" s="60" t="n"/>
      <c r="B68" s="60" t="n"/>
      <c r="C68" s="60" t="n"/>
      <c r="D68" s="62" t="n"/>
    </row>
    <row r="69">
      <c r="A69" s="56" t="n"/>
      <c r="B69" s="56" t="n"/>
      <c r="C69" s="56" t="n"/>
      <c r="D69" s="59" t="n"/>
    </row>
    <row r="70">
      <c r="A70" s="60" t="n"/>
      <c r="B70" s="60" t="n"/>
      <c r="C70" s="60" t="n"/>
      <c r="D70" s="62" t="n"/>
    </row>
    <row r="71">
      <c r="A71" s="56" t="n"/>
      <c r="B71" s="56" t="n"/>
      <c r="C71" s="56" t="n"/>
      <c r="D71" s="59" t="n"/>
    </row>
    <row r="72">
      <c r="A72" s="60" t="n"/>
      <c r="B72" s="60" t="n"/>
      <c r="C72" s="60" t="n"/>
      <c r="D72" s="62" t="n"/>
    </row>
    <row r="73">
      <c r="A73" s="56" t="n"/>
      <c r="B73" s="56" t="n"/>
      <c r="C73" s="56" t="n"/>
      <c r="D73" s="59" t="n"/>
    </row>
    <row r="74">
      <c r="A74" s="60" t="n"/>
      <c r="B74" s="60" t="n"/>
      <c r="C74" s="60" t="n"/>
      <c r="D74" s="62" t="n"/>
    </row>
    <row r="75">
      <c r="A75" s="56" t="n"/>
      <c r="B75" s="56" t="n"/>
      <c r="C75" s="56" t="n"/>
      <c r="D75" s="59" t="n"/>
    </row>
    <row r="76">
      <c r="A76" s="60" t="n"/>
      <c r="B76" s="60" t="n"/>
      <c r="C76" s="60" t="n"/>
      <c r="D76" s="62" t="n"/>
    </row>
    <row r="77">
      <c r="A77" s="56" t="n"/>
      <c r="B77" s="56" t="n"/>
      <c r="C77" s="56" t="n"/>
      <c r="D77" s="59" t="n"/>
    </row>
    <row r="78">
      <c r="A78" s="60" t="n"/>
      <c r="B78" s="60" t="n"/>
      <c r="C78" s="60" t="n"/>
      <c r="D78" s="62" t="n"/>
    </row>
    <row r="79">
      <c r="A79" s="56" t="n"/>
      <c r="B79" s="56" t="n"/>
      <c r="C79" s="56" t="n"/>
      <c r="D79" s="59" t="n"/>
    </row>
    <row r="80">
      <c r="A80" s="60" t="n"/>
      <c r="B80" s="60" t="n"/>
      <c r="C80" s="60" t="n"/>
      <c r="D80" s="62" t="n"/>
    </row>
    <row r="81">
      <c r="A81" s="56" t="n"/>
      <c r="B81" s="56" t="n"/>
      <c r="C81" s="56" t="n"/>
      <c r="D81" s="59" t="n"/>
    </row>
    <row r="82">
      <c r="A82" s="60" t="n"/>
      <c r="B82" s="60" t="n"/>
      <c r="C82" s="60" t="n"/>
      <c r="D82" s="62" t="n"/>
    </row>
    <row r="83">
      <c r="A83" s="56" t="n"/>
      <c r="B83" s="56" t="n"/>
      <c r="C83" s="56" t="n"/>
      <c r="D83" s="59" t="n"/>
    </row>
    <row r="84">
      <c r="A84" s="60" t="n"/>
      <c r="B84" s="60" t="n"/>
      <c r="C84" s="60" t="n"/>
      <c r="D84" s="62" t="n"/>
    </row>
    <row r="85">
      <c r="A85" s="56" t="n"/>
      <c r="B85" s="56" t="n"/>
      <c r="C85" s="56" t="n"/>
      <c r="D85" s="59" t="n"/>
    </row>
    <row r="86">
      <c r="A86" s="60" t="n"/>
      <c r="B86" s="60" t="n"/>
      <c r="C86" s="60" t="n"/>
      <c r="D86" s="62" t="n"/>
    </row>
    <row r="87">
      <c r="A87" s="56" t="n"/>
      <c r="B87" s="56" t="n"/>
      <c r="C87" s="56" t="n"/>
      <c r="D87" s="59" t="n"/>
    </row>
    <row r="88">
      <c r="A88" s="60" t="n"/>
      <c r="B88" s="60" t="n"/>
      <c r="C88" s="60" t="n"/>
      <c r="D88" s="62" t="n"/>
    </row>
    <row r="89">
      <c r="A89" s="56" t="n"/>
      <c r="B89" s="56" t="n"/>
      <c r="C89" s="56" t="n"/>
      <c r="D89" s="59" t="n"/>
    </row>
    <row r="90" ht="15" customHeight="1" s="52">
      <c r="A90" s="60" t="inlineStr">
        <is>
          <t>Cross-border ticket (USD)</t>
        </is>
      </c>
      <c r="B90" s="73" t="n">
        <v>80000</v>
      </c>
      <c r="C90" s="60" t="n"/>
      <c r="D90" s="62" t="inlineStr">
        <is>
          <t>Brazil to US corridor</t>
        </is>
      </c>
    </row>
    <row r="91" ht="15" customHeight="1" s="52">
      <c r="A91" s="56" t="inlineStr">
        <is>
          <t>Cross-border commission</t>
        </is>
      </c>
      <c r="B91" s="72" t="n">
        <v>0.03</v>
      </c>
      <c r="C91" s="56" t="n"/>
      <c r="D91" s="59" t="inlineStr">
        <is>
          <t>Higher for cross-border</t>
        </is>
      </c>
    </row>
  </sheetData>
  <mergeCells count="10">
    <mergeCell ref="A1:D1"/>
    <mergeCell ref="A23:D23"/>
    <mergeCell ref="A18:D18"/>
    <mergeCell ref="A4:D4"/>
    <mergeCell ref="A38:D38"/>
    <mergeCell ref="A39:D39"/>
    <mergeCell ref="A2:D2"/>
    <mergeCell ref="A19:D19"/>
    <mergeCell ref="A10:D10"/>
    <mergeCell ref="A32:D3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>
    <tabColor rgb="002F80ED"/>
    <outlinePr summaryBelow="1" summaryRight="1"/>
    <pageSetUpPr/>
  </sheetPr>
  <dimension ref="A1:E9"/>
  <sheetViews>
    <sheetView showGridLines="0" tabSelected="0" zoomScale="90"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2" customWidth="1" style="52" min="1" max="1"/>
    <col width="14" customWidth="1" style="52" min="2" max="2"/>
    <col width="20" customWidth="1" style="52" min="3" max="3"/>
    <col width="26" customWidth="1" style="52" min="4" max="4"/>
    <col width="52" customWidth="1" style="52" min="5" max="5"/>
  </cols>
  <sheetData>
    <row r="1" ht="30" customHeight="1" s="52">
      <c r="A1" s="53" t="inlineStr">
        <is>
          <t>GLEMO - Roadmap KPIs</t>
        </is>
      </c>
      <c r="B1" s="54" t="n"/>
      <c r="C1" s="54" t="n"/>
      <c r="D1" s="54" t="n"/>
      <c r="E1" s="54" t="n"/>
    </row>
    <row r="2" ht="34" customHeight="1" s="52">
      <c r="A2" s="55" t="inlineStr">
        <is>
          <t>24-month milestone view for RM scale, units sold, and marketplace apps/agents.</t>
        </is>
      </c>
      <c r="B2" s="54" t="n"/>
      <c r="C2" s="54" t="n"/>
      <c r="D2" s="54" t="n"/>
      <c r="E2" s="54" t="n"/>
    </row>
    <row r="3" ht="8" customHeight="1" s="52">
      <c r="A3" s="56" t="n"/>
      <c r="B3" s="56" t="n"/>
      <c r="C3" s="56" t="n"/>
      <c r="D3" s="56" t="n"/>
      <c r="E3" s="56" t="n"/>
    </row>
    <row r="4" ht="24" customHeight="1" s="52">
      <c r="A4" s="75" t="inlineStr">
        <is>
          <t>Month</t>
        </is>
      </c>
      <c r="B4" s="75" t="inlineStr">
        <is>
          <t>RM Count</t>
        </is>
      </c>
      <c r="C4" s="75" t="inlineStr">
        <is>
          <t>Units Sold / Month</t>
        </is>
      </c>
      <c r="D4" s="75" t="inlineStr">
        <is>
          <t>Marketplace Apps / Agents</t>
        </is>
      </c>
      <c r="E4" s="75" t="inlineStr">
        <is>
          <t>Milestone</t>
        </is>
      </c>
    </row>
    <row r="5" ht="24" customHeight="1" s="52">
      <c r="A5" s="57" t="inlineStr">
        <is>
          <t>M1</t>
        </is>
      </c>
      <c r="B5" s="76" t="n">
        <v>2</v>
      </c>
      <c r="C5" s="77" t="n">
        <v>2</v>
      </c>
      <c r="D5" s="76" t="n">
        <v>6</v>
      </c>
      <c r="E5" s="57" t="inlineStr">
        <is>
          <t>Pre-seed start; core operating baseline</t>
        </is>
      </c>
    </row>
    <row r="6" ht="24" customHeight="1" s="52">
      <c r="A6" s="57" t="inlineStr">
        <is>
          <t>M6</t>
        </is>
      </c>
      <c r="B6" s="76" t="n">
        <v>25</v>
      </c>
      <c r="C6" s="77" t="n">
        <v>150</v>
      </c>
      <c r="D6" s="76" t="n">
        <v>18</v>
      </c>
      <c r="E6" s="57" t="inlineStr">
        <is>
          <t>First RM ramp completed</t>
        </is>
      </c>
    </row>
    <row r="7" ht="24" customHeight="1" s="52">
      <c r="A7" s="57" t="inlineStr">
        <is>
          <t>M12</t>
        </is>
      </c>
      <c r="B7" s="76" t="n">
        <v>40</v>
      </c>
      <c r="C7" s="77" t="n">
        <v>500</v>
      </c>
      <c r="D7" s="76" t="n">
        <v>36</v>
      </c>
      <c r="E7" s="57" t="inlineStr">
        <is>
          <t>Mature RM organization with 6 managers/team leads</t>
        </is>
      </c>
    </row>
    <row r="8" ht="24" customHeight="1" s="52">
      <c r="A8" s="57" t="inlineStr">
        <is>
          <t>M18</t>
        </is>
      </c>
      <c r="B8" s="76" t="n">
        <v>40</v>
      </c>
      <c r="C8" s="77" t="n">
        <v>740</v>
      </c>
      <c r="D8" s="76" t="n">
        <v>58</v>
      </c>
      <c r="E8" s="57" t="inlineStr">
        <is>
          <t>Marketplace depth and partner conversion expanding</t>
        </is>
      </c>
    </row>
    <row r="9" ht="24" customHeight="1" s="52">
      <c r="A9" s="57" t="inlineStr">
        <is>
          <t>M24</t>
        </is>
      </c>
      <c r="B9" s="76" t="n">
        <v>40</v>
      </c>
      <c r="C9" s="77" t="n">
        <v>1000</v>
      </c>
      <c r="D9" s="76" t="n">
        <v>80</v>
      </c>
      <c r="E9" s="57" t="inlineStr">
        <is>
          <t>Peak sold volume target under mature operating cadence</t>
        </is>
      </c>
    </row>
  </sheetData>
  <mergeCells count="2">
    <mergeCell ref="A2:E2"/>
    <mergeCell ref="A1:E1"/>
  </mergeCells>
  <pageMargins left="0.75" right="0.75" top="1" bottom="1" header="0.5" footer="0.5"/>
  <drawing xmlns:r="http://schemas.openxmlformats.org/officeDocument/2006/relationships" r:id="rId1"/>
  <tableParts count="1">
    <tablePart xmlns:r="http://schemas.openxmlformats.org/officeDocument/2006/relationships" r:id="rId2"/>
  </tableParts>
</worksheet>
</file>

<file path=xl/worksheets/sheet4.xml><?xml version="1.0" encoding="utf-8"?>
<worksheet xmlns="http://schemas.openxmlformats.org/spreadsheetml/2006/main">
  <sheetPr filterMode="0">
    <tabColor rgb="0010B981"/>
    <outlinePr summaryBelow="1" summaryRight="1"/>
    <pageSetUpPr fitToPage="0"/>
  </sheetPr>
  <dimension ref="A1:AC23"/>
  <sheetViews>
    <sheetView showFormulas="0" showGridLines="0" showRowColHeaders="1" showZeros="1" rightToLeft="0" tabSelected="0" showOutlineSymbols="1" defaultGridColor="1" view="normal" topLeftCell="A1" colorId="64" zoomScale="90" zoomScaleNormal="100" zoomScalePageLayoutView="100" workbookViewId="0">
      <pane xSplit="2" ySplit="3" topLeftCell="C4" activePane="bottomRight" state="frozen"/>
      <selection pane="topRight"/>
      <selection pane="bottomLeft"/>
      <selection pane="bottomRight" activeCell="A1" activeCellId="0" sqref="A1"/>
      <selection pane="topRight" activeCell="C1" activeCellId="0" sqref="C1"/>
      <selection pane="bottomLeft" activeCell="A3" activeCellId="0" sqref="A3"/>
      <selection pane="bottomRight" activeCell="A1" activeCellId="0" sqref="A1"/>
    </sheetView>
  </sheetViews>
  <sheetFormatPr baseColWidth="8" defaultColWidth="8.6796875" defaultRowHeight="15" zeroHeight="0" outlineLevelRow="0"/>
  <cols>
    <col width="38" customWidth="1" style="51" min="1" max="1"/>
    <col width="4" customWidth="1" style="51" min="2" max="2"/>
    <col width="13" customWidth="1" style="51" min="3" max="26"/>
    <col width="13" customWidth="1" style="52" min="4" max="4"/>
    <col width="13" customWidth="1" style="52" min="5" max="5"/>
    <col width="13" customWidth="1" style="52" min="6" max="6"/>
    <col width="13" customWidth="1" style="52" min="7" max="7"/>
    <col width="13" customWidth="1" style="52" min="8" max="8"/>
    <col width="13" customWidth="1" style="52" min="9" max="9"/>
    <col width="13" customWidth="1" style="52" min="10" max="10"/>
    <col width="13" customWidth="1" style="52" min="11" max="11"/>
    <col width="13" customWidth="1" style="52" min="12" max="12"/>
    <col width="13" customWidth="1" style="52" min="13" max="13"/>
    <col width="13" customWidth="1" style="52" min="14" max="14"/>
    <col width="13" customWidth="1" style="52" min="15" max="15"/>
    <col width="13" customWidth="1" style="52" min="16" max="16"/>
    <col width="13" customWidth="1" style="52" min="17" max="17"/>
    <col width="13" customWidth="1" style="52" min="18" max="18"/>
    <col width="13" customWidth="1" style="52" min="19" max="19"/>
    <col width="13" customWidth="1" style="52" min="20" max="20"/>
    <col width="13" customWidth="1" style="52" min="21" max="21"/>
    <col width="13" customWidth="1" style="52" min="22" max="22"/>
    <col width="13" customWidth="1" style="52" min="23" max="23"/>
    <col width="13" customWidth="1" style="52" min="24" max="24"/>
    <col width="13" customWidth="1" style="52" min="25" max="25"/>
    <col width="13" customWidth="1" style="52" min="26" max="26"/>
    <col width="13" customWidth="1" style="51" min="27" max="29"/>
    <col width="13" customWidth="1" style="52" min="28" max="28"/>
    <col width="13" customWidth="1" style="52" min="29" max="29"/>
  </cols>
  <sheetData>
    <row r="1" ht="24" customHeight="1" s="52">
      <c r="A1" s="53" t="inlineStr">
        <is>
          <t>GLEMO — Monthly P&amp;L (USD) · AI Agent + Brokerage · Conservative Bottom-Up</t>
        </is>
      </c>
      <c r="B1" s="54" t="n"/>
      <c r="C1" s="54" t="n"/>
      <c r="D1" s="54" t="n"/>
      <c r="E1" s="54" t="n"/>
      <c r="F1" s="54" t="n"/>
      <c r="G1" s="54" t="n"/>
      <c r="H1" s="54" t="n"/>
      <c r="I1" s="54" t="n"/>
      <c r="J1" s="54" t="n"/>
      <c r="K1" s="54" t="n"/>
      <c r="L1" s="54" t="n"/>
      <c r="M1" s="54" t="n"/>
      <c r="N1" s="54" t="n"/>
      <c r="O1" s="54" t="n"/>
      <c r="P1" s="54" t="n"/>
      <c r="Q1" s="54" t="n"/>
      <c r="R1" s="54" t="n"/>
      <c r="S1" s="54" t="n"/>
      <c r="T1" s="54" t="n"/>
      <c r="U1" s="54" t="n"/>
      <c r="V1" s="54" t="n"/>
      <c r="W1" s="54" t="n"/>
      <c r="X1" s="54" t="n"/>
      <c r="Y1" s="54" t="n"/>
      <c r="Z1" s="54" t="n"/>
      <c r="AA1" s="54" t="n"/>
      <c r="AB1" s="54" t="n"/>
      <c r="AC1" s="54" t="n"/>
    </row>
    <row r="2" ht="24" customHeight="1" s="52">
      <c r="A2" s="78" t="inlineStr">
        <is>
          <t>LINE ITEM</t>
        </is>
      </c>
      <c r="B2" s="78" t="n"/>
      <c r="C2" s="78" t="n"/>
      <c r="D2" s="78" t="n"/>
      <c r="E2" s="78" t="n"/>
      <c r="F2" s="78" t="n"/>
      <c r="G2" s="78" t="n"/>
      <c r="H2" s="78" t="n"/>
      <c r="I2" s="78" t="n"/>
      <c r="J2" s="78" t="n"/>
      <c r="K2" s="78" t="n"/>
      <c r="L2" s="78" t="n"/>
      <c r="M2" s="78" t="n"/>
      <c r="N2" s="78" t="n"/>
      <c r="O2" s="78" t="n"/>
      <c r="P2" s="78" t="n"/>
      <c r="Q2" s="78" t="n"/>
      <c r="R2" s="78" t="n"/>
      <c r="S2" s="78" t="n"/>
      <c r="T2" s="78" t="n"/>
      <c r="U2" s="78" t="n"/>
      <c r="V2" s="78" t="n"/>
      <c r="W2" s="78" t="n"/>
      <c r="X2" s="78" t="n"/>
      <c r="Y2" s="78" t="n"/>
      <c r="Z2" s="78" t="n"/>
      <c r="AA2" s="78" t="n"/>
      <c r="AB2" s="78" t="n"/>
      <c r="AC2" s="78" t="n"/>
    </row>
    <row r="3" ht="24" customHeight="1" s="52">
      <c r="A3" s="56" t="n"/>
      <c r="B3" s="56" t="n"/>
      <c r="C3" s="56" t="n"/>
      <c r="D3" s="56" t="n"/>
      <c r="E3" s="56" t="n"/>
      <c r="F3" s="56" t="n"/>
      <c r="G3" s="56" t="n"/>
      <c r="H3" s="56" t="n"/>
      <c r="I3" s="56" t="n"/>
      <c r="J3" s="56" t="n"/>
      <c r="K3" s="56" t="n"/>
      <c r="L3" s="56" t="n"/>
      <c r="M3" s="56" t="n"/>
      <c r="N3" s="56" t="n"/>
      <c r="O3" s="56" t="n"/>
      <c r="P3" s="56" t="n"/>
      <c r="Q3" s="56" t="n"/>
      <c r="R3" s="56" t="n"/>
      <c r="S3" s="56" t="n"/>
      <c r="T3" s="56" t="n"/>
      <c r="U3" s="56" t="n"/>
      <c r="V3" s="56" t="n"/>
      <c r="W3" s="56" t="n"/>
      <c r="X3" s="56" t="n"/>
      <c r="Y3" s="56" t="n"/>
      <c r="Z3" s="56" t="n"/>
      <c r="AA3" s="56" t="n"/>
      <c r="AB3" s="56" t="n"/>
      <c r="AC3" s="56" t="n"/>
    </row>
    <row r="4" ht="24" customHeight="1" s="52">
      <c r="A4" s="57" t="inlineStr">
        <is>
          <t>── SALES TEAM ──</t>
        </is>
      </c>
      <c r="B4" s="57" t="n"/>
      <c r="C4" s="57" t="n"/>
      <c r="D4" s="57" t="n"/>
      <c r="E4" s="57" t="n"/>
      <c r="F4" s="57" t="n"/>
      <c r="G4" s="57" t="n"/>
      <c r="H4" s="57" t="n"/>
      <c r="I4" s="57" t="n"/>
      <c r="J4" s="57" t="n"/>
      <c r="K4" s="57" t="n"/>
      <c r="L4" s="57" t="n"/>
      <c r="M4" s="57" t="n"/>
      <c r="N4" s="57" t="n"/>
      <c r="O4" s="57" t="n"/>
      <c r="P4" s="57" t="n"/>
      <c r="Q4" s="57" t="n"/>
      <c r="R4" s="57" t="n"/>
      <c r="S4" s="57" t="n"/>
      <c r="T4" s="57" t="n"/>
      <c r="U4" s="57" t="n"/>
      <c r="V4" s="57" t="n"/>
      <c r="W4" s="57" t="n"/>
      <c r="X4" s="57" t="n"/>
      <c r="Y4" s="57" t="n"/>
      <c r="Z4" s="57" t="n"/>
      <c r="AA4" s="57" t="n"/>
      <c r="AB4" s="57" t="n"/>
      <c r="AC4" s="57" t="n"/>
    </row>
    <row r="5" ht="24" customHeight="1" s="52">
      <c r="A5" s="56" t="inlineStr">
        <is>
          <t>Relationship Managers (count)</t>
        </is>
      </c>
      <c r="B5" s="56" t="n"/>
      <c r="C5" s="79" t="n">
        <v>2</v>
      </c>
      <c r="D5" s="79" t="n">
        <v>7</v>
      </c>
      <c r="E5" s="79" t="n">
        <v>11</v>
      </c>
      <c r="F5" s="79" t="n">
        <v>16</v>
      </c>
      <c r="G5" s="79" t="n">
        <v>20</v>
      </c>
      <c r="H5" s="79" t="n">
        <v>25</v>
      </c>
      <c r="I5" s="79" t="n">
        <v>28</v>
      </c>
      <c r="J5" s="79" t="n">
        <v>31</v>
      </c>
      <c r="K5" s="79" t="n">
        <v>34</v>
      </c>
      <c r="L5" s="79" t="n">
        <v>37</v>
      </c>
      <c r="M5" s="79" t="n">
        <v>40</v>
      </c>
      <c r="N5" s="79" t="n">
        <v>40</v>
      </c>
      <c r="O5" s="79" t="n">
        <v>40</v>
      </c>
      <c r="P5" s="79" t="n">
        <v>40</v>
      </c>
      <c r="Q5" s="79" t="n">
        <v>40</v>
      </c>
      <c r="R5" s="79" t="n">
        <v>40</v>
      </c>
      <c r="S5" s="79" t="n">
        <v>40</v>
      </c>
      <c r="T5" s="79" t="n">
        <v>40</v>
      </c>
      <c r="U5" s="79" t="n">
        <v>40</v>
      </c>
      <c r="V5" s="79" t="n">
        <v>40</v>
      </c>
      <c r="W5" s="79" t="n">
        <v>40</v>
      </c>
      <c r="X5" s="79" t="n">
        <v>40</v>
      </c>
      <c r="Y5" s="79" t="n">
        <v>40</v>
      </c>
      <c r="Z5" s="79" t="n">
        <v>40</v>
      </c>
      <c r="AA5" s="80">
        <f>MAX(C5:Z5)</f>
        <v/>
      </c>
      <c r="AB5" s="56" t="n"/>
      <c r="AC5" s="56" t="n"/>
    </row>
    <row r="6" ht="24" customHeight="1" s="52">
      <c r="A6" s="60" t="inlineStr">
        <is>
          <t>Sales capacity (units/mo)</t>
        </is>
      </c>
      <c r="B6" s="60" t="n"/>
      <c r="C6" s="81">
        <f>C5*Assumptions!$B$13</f>
        <v/>
      </c>
      <c r="D6" s="81">
        <f>D5*Assumptions!$B$13</f>
        <v/>
      </c>
      <c r="E6" s="81">
        <f>E5*Assumptions!$B$13</f>
        <v/>
      </c>
      <c r="F6" s="81">
        <f>F5*Assumptions!$B$13</f>
        <v/>
      </c>
      <c r="G6" s="81">
        <f>G5*Assumptions!$B$13</f>
        <v/>
      </c>
      <c r="H6" s="81">
        <f>H5*Assumptions!$B$13</f>
        <v/>
      </c>
      <c r="I6" s="81">
        <f>I5*Assumptions!$B$13</f>
        <v/>
      </c>
      <c r="J6" s="81">
        <f>J5*Assumptions!$B$13</f>
        <v/>
      </c>
      <c r="K6" s="81">
        <f>K5*Assumptions!$B$13</f>
        <v/>
      </c>
      <c r="L6" s="81">
        <f>L5*Assumptions!$B$13</f>
        <v/>
      </c>
      <c r="M6" s="81">
        <f>M5*Assumptions!$B$13</f>
        <v/>
      </c>
      <c r="N6" s="81">
        <f>N5*Assumptions!$B$13</f>
        <v/>
      </c>
      <c r="O6" s="81">
        <f>O5*Assumptions!$B$13</f>
        <v/>
      </c>
      <c r="P6" s="81">
        <f>P5*Assumptions!$B$13</f>
        <v/>
      </c>
      <c r="Q6" s="81">
        <f>Q5*Assumptions!$B$13</f>
        <v/>
      </c>
      <c r="R6" s="81">
        <f>R5*Assumptions!$B$13</f>
        <v/>
      </c>
      <c r="S6" s="81">
        <f>S5*Assumptions!$B$13</f>
        <v/>
      </c>
      <c r="T6" s="81">
        <f>T5*Assumptions!$B$13</f>
        <v/>
      </c>
      <c r="U6" s="81">
        <f>U5*Assumptions!$B$13</f>
        <v/>
      </c>
      <c r="V6" s="81">
        <f>V5*Assumptions!$B$13</f>
        <v/>
      </c>
      <c r="W6" s="81">
        <f>W5*Assumptions!$B$13</f>
        <v/>
      </c>
      <c r="X6" s="81">
        <f>X5*Assumptions!$B$13</f>
        <v/>
      </c>
      <c r="Y6" s="81">
        <f>Y5*Assumptions!$B$13</f>
        <v/>
      </c>
      <c r="Z6" s="81">
        <f>Z5*Assumptions!$B$13</f>
        <v/>
      </c>
      <c r="AA6" s="60" t="n"/>
      <c r="AB6" s="60" t="n"/>
      <c r="AC6" s="60" t="n"/>
    </row>
    <row r="7" ht="24" customHeight="1" s="52">
      <c r="A7" s="56" t="inlineStr">
        <is>
          <t>Utilization %</t>
        </is>
      </c>
      <c r="B7" s="56" t="n"/>
      <c r="C7" s="82" t="n">
        <v>0.05</v>
      </c>
      <c r="D7" s="82" t="n">
        <v>0.08</v>
      </c>
      <c r="E7" s="82" t="n">
        <v>0.12</v>
      </c>
      <c r="F7" s="82" t="n">
        <v>0.16</v>
      </c>
      <c r="G7" s="82" t="n">
        <v>0.2</v>
      </c>
      <c r="H7" s="82" t="n">
        <v>0.24</v>
      </c>
      <c r="I7" s="82" t="n">
        <v>0.28</v>
      </c>
      <c r="J7" s="82" t="n">
        <v>0.32</v>
      </c>
      <c r="K7" s="82" t="n">
        <v>0.36</v>
      </c>
      <c r="L7" s="82" t="n">
        <v>0.42</v>
      </c>
      <c r="M7" s="82" t="n">
        <v>0.46</v>
      </c>
      <c r="N7" s="82" t="n">
        <v>0.5</v>
      </c>
      <c r="O7" s="82" t="n">
        <v>0.62</v>
      </c>
      <c r="P7" s="82" t="n">
        <v>0.7</v>
      </c>
      <c r="Q7" s="82" t="n">
        <v>0.78</v>
      </c>
      <c r="R7" s="82" t="n">
        <v>0.86</v>
      </c>
      <c r="S7" s="82" t="n">
        <v>0.84</v>
      </c>
      <c r="T7" s="82" t="n">
        <v>0.74</v>
      </c>
      <c r="U7" s="82" t="n">
        <v>0.78</v>
      </c>
      <c r="V7" s="82" t="n">
        <v>0.86</v>
      </c>
      <c r="W7" s="82" t="n">
        <v>0.92</v>
      </c>
      <c r="X7" s="82" t="n">
        <v>1</v>
      </c>
      <c r="Y7" s="82" t="n">
        <v>0.95</v>
      </c>
      <c r="Z7" s="82" t="n">
        <v>1</v>
      </c>
      <c r="AA7" s="82" t="n"/>
      <c r="AB7" s="82" t="n"/>
      <c r="AC7" s="82" t="n"/>
    </row>
    <row r="8" ht="24" customHeight="1" s="52">
      <c r="A8" s="60" t="inlineStr">
        <is>
          <t>Units sold</t>
        </is>
      </c>
      <c r="B8" s="60" t="n"/>
      <c r="C8" s="81">
        <f>ROUND(C6*C7,0)</f>
        <v/>
      </c>
      <c r="D8" s="81">
        <f>ROUND(D6*D7,0)</f>
        <v/>
      </c>
      <c r="E8" s="81">
        <f>ROUND(E6*E7,0)</f>
        <v/>
      </c>
      <c r="F8" s="81">
        <f>ROUND(F6*F7,0)</f>
        <v/>
      </c>
      <c r="G8" s="81">
        <f>ROUND(G6*G7,0)</f>
        <v/>
      </c>
      <c r="H8" s="81">
        <f>ROUND(H6*H7,0)</f>
        <v/>
      </c>
      <c r="I8" s="81">
        <f>ROUND(I6*I7,0)</f>
        <v/>
      </c>
      <c r="J8" s="81">
        <f>ROUND(J6*J7,0)</f>
        <v/>
      </c>
      <c r="K8" s="81">
        <f>ROUND(K6*K7,0)</f>
        <v/>
      </c>
      <c r="L8" s="81">
        <f>ROUND(L6*L7,0)</f>
        <v/>
      </c>
      <c r="M8" s="81">
        <f>ROUND(M6*M7,0)</f>
        <v/>
      </c>
      <c r="N8" s="81">
        <f>ROUND(N6*N7,0)</f>
        <v/>
      </c>
      <c r="O8" s="81">
        <f>ROUND(O6*O7,0)</f>
        <v/>
      </c>
      <c r="P8" s="81">
        <f>ROUND(P6*P7,0)</f>
        <v/>
      </c>
      <c r="Q8" s="81">
        <f>ROUND(Q6*Q7,0)</f>
        <v/>
      </c>
      <c r="R8" s="81">
        <f>ROUND(R6*R7,0)</f>
        <v/>
      </c>
      <c r="S8" s="81">
        <f>ROUND(S6*S7,0)</f>
        <v/>
      </c>
      <c r="T8" s="81">
        <f>ROUND(T6*T7,0)</f>
        <v/>
      </c>
      <c r="U8" s="81">
        <f>ROUND(U6*U7,0)</f>
        <v/>
      </c>
      <c r="V8" s="81">
        <f>ROUND(V6*V7,0)</f>
        <v/>
      </c>
      <c r="W8" s="81">
        <f>ROUND(W6*W7,0)</f>
        <v/>
      </c>
      <c r="X8" s="81">
        <f>ROUND(X6*X7,0)</f>
        <v/>
      </c>
      <c r="Y8" s="81">
        <f>ROUND(Y6*Y7,0)</f>
        <v/>
      </c>
      <c r="Z8" s="81">
        <f>ROUND(Z6*Z7,0)</f>
        <v/>
      </c>
      <c r="AA8" s="80">
        <f>SUM(C8:Z8)</f>
        <v/>
      </c>
      <c r="AB8" s="80">
        <f>SUM(C8:N8)</f>
        <v/>
      </c>
      <c r="AC8" s="80">
        <f>SUM(O8:Z8)</f>
        <v/>
      </c>
    </row>
    <row r="9" ht="24" customHeight="1" s="52">
      <c r="A9" s="57" t="inlineStr">
        <is>
          <t>── REVENUE (USD) ──</t>
        </is>
      </c>
      <c r="B9" s="57" t="n"/>
      <c r="C9" s="57" t="n"/>
      <c r="D9" s="57" t="n"/>
      <c r="E9" s="57" t="n"/>
      <c r="F9" s="57" t="n"/>
      <c r="G9" s="57" t="n"/>
      <c r="H9" s="57" t="n"/>
      <c r="I9" s="57" t="n"/>
      <c r="J9" s="57" t="n"/>
      <c r="K9" s="57" t="n"/>
      <c r="L9" s="57" t="n"/>
      <c r="M9" s="57" t="n"/>
      <c r="N9" s="57" t="n"/>
      <c r="O9" s="57" t="n"/>
      <c r="P9" s="57" t="n"/>
      <c r="Q9" s="57" t="n"/>
      <c r="R9" s="57" t="n"/>
      <c r="S9" s="57" t="n"/>
      <c r="T9" s="57" t="n"/>
      <c r="U9" s="57" t="n"/>
      <c r="V9" s="57" t="n"/>
      <c r="W9" s="57" t="n"/>
      <c r="X9" s="57" t="n"/>
      <c r="Y9" s="57" t="n"/>
      <c r="Z9" s="57" t="n"/>
      <c r="AA9" s="57" t="n"/>
      <c r="AB9" s="57" t="n"/>
      <c r="AC9" s="57" t="n"/>
    </row>
    <row r="10" ht="24" customHeight="1" s="52">
      <c r="A10" s="60" t="inlineStr">
        <is>
          <t>Brokerage — Gross Commission (revenue)</t>
        </is>
      </c>
      <c r="B10" s="60" t="n"/>
      <c r="C10" s="83">
        <f>C8*Assumptions!$B$9*Assumptions!$B$8*Assumptions!$B$6/Assumptions!$B$5 + C8*(1-Assumptions!$B$9)*Assumptions!$B$90*Assumptions!$B$91</f>
        <v/>
      </c>
      <c r="D10" s="83">
        <f>D8*Assumptions!$B$9*Assumptions!$B$8*Assumptions!$B$6/Assumptions!$B$5 + D8*(1-Assumptions!$B$9)*Assumptions!$B$90*Assumptions!$B$91</f>
        <v/>
      </c>
      <c r="E10" s="83">
        <f>E8*Assumptions!$B$9*Assumptions!$B$8*Assumptions!$B$6/Assumptions!$B$5 + E8*(1-Assumptions!$B$9)*Assumptions!$B$90*Assumptions!$B$91</f>
        <v/>
      </c>
      <c r="F10" s="83">
        <f>F8*Assumptions!$B$9*Assumptions!$B$8*Assumptions!$B$6/Assumptions!$B$5 + F8*(1-Assumptions!$B$9)*Assumptions!$B$90*Assumptions!$B$91</f>
        <v/>
      </c>
      <c r="G10" s="83">
        <f>G8*Assumptions!$B$9*Assumptions!$B$8*Assumptions!$B$6/Assumptions!$B$5 + G8*(1-Assumptions!$B$9)*Assumptions!$B$90*Assumptions!$B$91</f>
        <v/>
      </c>
      <c r="H10" s="83">
        <f>H8*Assumptions!$B$9*Assumptions!$B$8*Assumptions!$B$6/Assumptions!$B$5 + H8*(1-Assumptions!$B$9)*Assumptions!$B$90*Assumptions!$B$91</f>
        <v/>
      </c>
      <c r="I10" s="83">
        <f>I8*Assumptions!$B$9*Assumptions!$B$8*Assumptions!$B$6/Assumptions!$B$5 + I8*(1-Assumptions!$B$9)*Assumptions!$B$90*Assumptions!$B$91</f>
        <v/>
      </c>
      <c r="J10" s="83">
        <f>J8*Assumptions!$B$9*Assumptions!$B$8*Assumptions!$B$6/Assumptions!$B$5 + J8*(1-Assumptions!$B$9)*Assumptions!$B$90*Assumptions!$B$91</f>
        <v/>
      </c>
      <c r="K10" s="83">
        <f>K8*Assumptions!$B$9*Assumptions!$B$8*Assumptions!$B$6/Assumptions!$B$5 + K8*(1-Assumptions!$B$9)*Assumptions!$B$90*Assumptions!$B$91</f>
        <v/>
      </c>
      <c r="L10" s="83">
        <f>L8*Assumptions!$B$9*Assumptions!$B$8*Assumptions!$B$6/Assumptions!$B$5 + L8*(1-Assumptions!$B$9)*Assumptions!$B$90*Assumptions!$B$91</f>
        <v/>
      </c>
      <c r="M10" s="83">
        <f>M8*Assumptions!$B$9*Assumptions!$B$8*Assumptions!$B$6/Assumptions!$B$5 + M8*(1-Assumptions!$B$9)*Assumptions!$B$90*Assumptions!$B$91</f>
        <v/>
      </c>
      <c r="N10" s="83">
        <f>N8*Assumptions!$B$9*Assumptions!$B$8*Assumptions!$B$6/Assumptions!$B$5 + N8*(1-Assumptions!$B$9)*Assumptions!$B$90*Assumptions!$B$91</f>
        <v/>
      </c>
      <c r="O10" s="83">
        <f>O8*Assumptions!$B$9*Assumptions!$B$8*Assumptions!$B$6/Assumptions!$B$5 + O8*(1-Assumptions!$B$9)*Assumptions!$B$90*Assumptions!$B$91</f>
        <v/>
      </c>
      <c r="P10" s="83">
        <f>P8*Assumptions!$B$9*Assumptions!$B$8*Assumptions!$B$6/Assumptions!$B$5 + P8*(1-Assumptions!$B$9)*Assumptions!$B$90*Assumptions!$B$91</f>
        <v/>
      </c>
      <c r="Q10" s="83">
        <f>Q8*Assumptions!$B$9*Assumptions!$B$8*Assumptions!$B$6/Assumptions!$B$5 + Q8*(1-Assumptions!$B$9)*Assumptions!$B$90*Assumptions!$B$91</f>
        <v/>
      </c>
      <c r="R10" s="83">
        <f>R8*Assumptions!$B$9*Assumptions!$B$8*Assumptions!$B$6/Assumptions!$B$5 + R8*(1-Assumptions!$B$9)*Assumptions!$B$90*Assumptions!$B$91</f>
        <v/>
      </c>
      <c r="S10" s="83">
        <f>S8*Assumptions!$B$9*Assumptions!$B$8*Assumptions!$B$6/Assumptions!$B$5 + S8*(1-Assumptions!$B$9)*Assumptions!$B$90*Assumptions!$B$91</f>
        <v/>
      </c>
      <c r="T10" s="83">
        <f>T8*Assumptions!$B$9*Assumptions!$B$8*Assumptions!$B$6/Assumptions!$B$5 + T8*(1-Assumptions!$B$9)*Assumptions!$B$90*Assumptions!$B$91</f>
        <v/>
      </c>
      <c r="U10" s="83">
        <f>U8*Assumptions!$B$9*Assumptions!$B$8*Assumptions!$B$6/Assumptions!$B$5 + U8*(1-Assumptions!$B$9)*Assumptions!$B$90*Assumptions!$B$91</f>
        <v/>
      </c>
      <c r="V10" s="83">
        <f>V8*Assumptions!$B$9*Assumptions!$B$8*Assumptions!$B$6/Assumptions!$B$5 + V8*(1-Assumptions!$B$9)*Assumptions!$B$90*Assumptions!$B$91</f>
        <v/>
      </c>
      <c r="W10" s="83">
        <f>W8*Assumptions!$B$9*Assumptions!$B$8*Assumptions!$B$6/Assumptions!$B$5 + W8*(1-Assumptions!$B$9)*Assumptions!$B$90*Assumptions!$B$91</f>
        <v/>
      </c>
      <c r="X10" s="83">
        <f>X8*Assumptions!$B$9*Assumptions!$B$8*Assumptions!$B$6/Assumptions!$B$5 + X8*(1-Assumptions!$B$9)*Assumptions!$B$90*Assumptions!$B$91</f>
        <v/>
      </c>
      <c r="Y10" s="83">
        <f>Y8*Assumptions!$B$9*Assumptions!$B$8*Assumptions!$B$6/Assumptions!$B$5 + Y8*(1-Assumptions!$B$9)*Assumptions!$B$90*Assumptions!$B$91</f>
        <v/>
      </c>
      <c r="Z10" s="83">
        <f>Z8*Assumptions!$B$9*Assumptions!$B$8*Assumptions!$B$6/Assumptions!$B$5 + Z8*(1-Assumptions!$B$9)*Assumptions!$B$90*Assumptions!$B$91</f>
        <v/>
      </c>
      <c r="AA10" s="84">
        <f>SUM(C10:Z10)</f>
        <v/>
      </c>
      <c r="AB10" s="84">
        <f>SUM(C10:N10)</f>
        <v/>
      </c>
      <c r="AC10" s="84">
        <f>SUM(O10:Z10)</f>
        <v/>
      </c>
    </row>
    <row r="11" ht="24" customHeight="1" s="52">
      <c r="A11" s="56" t="inlineStr">
        <is>
          <t>SaaS Revenue</t>
        </is>
      </c>
      <c r="B11" s="56" t="n"/>
      <c r="C11" s="85">
        <f>((Assumptions!$B$24+(Assumptions!$B$25-Assumptions!$B$24)*0/23)*Assumptions!$B$26+(Assumptions!$B$27+(Assumptions!$B$28-Assumptions!$B$27)*0/23)*Assumptions!$B$29)/Assumptions!$B$5</f>
        <v/>
      </c>
      <c r="D11" s="85">
        <f>((Assumptions!$B$24+(Assumptions!$B$25-Assumptions!$B$24)*1/23)*Assumptions!$B$26+(Assumptions!$B$27+(Assumptions!$B$28-Assumptions!$B$27)*1/23)*Assumptions!$B$29)/Assumptions!$B$5</f>
        <v/>
      </c>
      <c r="E11" s="85">
        <f>((Assumptions!$B$24+(Assumptions!$B$25-Assumptions!$B$24)*2/23)*Assumptions!$B$26+(Assumptions!$B$27+(Assumptions!$B$28-Assumptions!$B$27)*2/23)*Assumptions!$B$29)/Assumptions!$B$5</f>
        <v/>
      </c>
      <c r="F11" s="85">
        <f>((Assumptions!$B$24+(Assumptions!$B$25-Assumptions!$B$24)*3/23)*Assumptions!$B$26+(Assumptions!$B$27+(Assumptions!$B$28-Assumptions!$B$27)*3/23)*Assumptions!$B$29)/Assumptions!$B$5</f>
        <v/>
      </c>
      <c r="G11" s="85">
        <f>((Assumptions!$B$24+(Assumptions!$B$25-Assumptions!$B$24)*4/23)*Assumptions!$B$26+(Assumptions!$B$27+(Assumptions!$B$28-Assumptions!$B$27)*4/23)*Assumptions!$B$29)/Assumptions!$B$5</f>
        <v/>
      </c>
      <c r="H11" s="85">
        <f>((Assumptions!$B$24+(Assumptions!$B$25-Assumptions!$B$24)*5/23)*Assumptions!$B$26+(Assumptions!$B$27+(Assumptions!$B$28-Assumptions!$B$27)*5/23)*Assumptions!$B$29)/Assumptions!$B$5</f>
        <v/>
      </c>
      <c r="I11" s="85">
        <f>((Assumptions!$B$24+(Assumptions!$B$25-Assumptions!$B$24)*6/23)*Assumptions!$B$26+(Assumptions!$B$27+(Assumptions!$B$28-Assumptions!$B$27)*6/23)*Assumptions!$B$29)/Assumptions!$B$5</f>
        <v/>
      </c>
      <c r="J11" s="85">
        <f>((Assumptions!$B$24+(Assumptions!$B$25-Assumptions!$B$24)*7/23)*Assumptions!$B$26+(Assumptions!$B$27+(Assumptions!$B$28-Assumptions!$B$27)*7/23)*Assumptions!$B$29)/Assumptions!$B$5</f>
        <v/>
      </c>
      <c r="K11" s="85">
        <f>((Assumptions!$B$24+(Assumptions!$B$25-Assumptions!$B$24)*8/23)*Assumptions!$B$26+(Assumptions!$B$27+(Assumptions!$B$28-Assumptions!$B$27)*8/23)*Assumptions!$B$29)/Assumptions!$B$5</f>
        <v/>
      </c>
      <c r="L11" s="85">
        <f>((Assumptions!$B$24+(Assumptions!$B$25-Assumptions!$B$24)*9/23)*Assumptions!$B$26+(Assumptions!$B$27+(Assumptions!$B$28-Assumptions!$B$27)*9/23)*Assumptions!$B$29)/Assumptions!$B$5</f>
        <v/>
      </c>
      <c r="M11" s="85">
        <f>((Assumptions!$B$24+(Assumptions!$B$25-Assumptions!$B$24)*10/23)*Assumptions!$B$26+(Assumptions!$B$27+(Assumptions!$B$28-Assumptions!$B$27)*10/23)*Assumptions!$B$29)/Assumptions!$B$5</f>
        <v/>
      </c>
      <c r="N11" s="85">
        <f>((Assumptions!$B$24+(Assumptions!$B$25-Assumptions!$B$24)*11/23)*Assumptions!$B$26+(Assumptions!$B$27+(Assumptions!$B$28-Assumptions!$B$27)*11/23)*Assumptions!$B$29)/Assumptions!$B$5</f>
        <v/>
      </c>
      <c r="O11" s="85">
        <f>((Assumptions!$B$24+(Assumptions!$B$25-Assumptions!$B$24)*12/23)*Assumptions!$B$26+(Assumptions!$B$27+(Assumptions!$B$28-Assumptions!$B$27)*12/23)*Assumptions!$B$29)/Assumptions!$B$5</f>
        <v/>
      </c>
      <c r="P11" s="85">
        <f>((Assumptions!$B$24+(Assumptions!$B$25-Assumptions!$B$24)*13/23)*Assumptions!$B$26+(Assumptions!$B$27+(Assumptions!$B$28-Assumptions!$B$27)*13/23)*Assumptions!$B$29)/Assumptions!$B$5</f>
        <v/>
      </c>
      <c r="Q11" s="85">
        <f>((Assumptions!$B$24+(Assumptions!$B$25-Assumptions!$B$24)*14/23)*Assumptions!$B$26+(Assumptions!$B$27+(Assumptions!$B$28-Assumptions!$B$27)*14/23)*Assumptions!$B$29)/Assumptions!$B$5</f>
        <v/>
      </c>
      <c r="R11" s="85">
        <f>((Assumptions!$B$24+(Assumptions!$B$25-Assumptions!$B$24)*15/23)*Assumptions!$B$26+(Assumptions!$B$27+(Assumptions!$B$28-Assumptions!$B$27)*15/23)*Assumptions!$B$29)/Assumptions!$B$5</f>
        <v/>
      </c>
      <c r="S11" s="85">
        <f>((Assumptions!$B$24+(Assumptions!$B$25-Assumptions!$B$24)*16/23)*Assumptions!$B$26+(Assumptions!$B$27+(Assumptions!$B$28-Assumptions!$B$27)*16/23)*Assumptions!$B$29)/Assumptions!$B$5</f>
        <v/>
      </c>
      <c r="T11" s="85">
        <f>((Assumptions!$B$24+(Assumptions!$B$25-Assumptions!$B$24)*17/23)*Assumptions!$B$26+(Assumptions!$B$27+(Assumptions!$B$28-Assumptions!$B$27)*17/23)*Assumptions!$B$29)/Assumptions!$B$5</f>
        <v/>
      </c>
      <c r="U11" s="85">
        <f>((Assumptions!$B$24+(Assumptions!$B$25-Assumptions!$B$24)*18/23)*Assumptions!$B$26+(Assumptions!$B$27+(Assumptions!$B$28-Assumptions!$B$27)*18/23)*Assumptions!$B$29)/Assumptions!$B$5</f>
        <v/>
      </c>
      <c r="V11" s="85">
        <f>((Assumptions!$B$24+(Assumptions!$B$25-Assumptions!$B$24)*19/23)*Assumptions!$B$26+(Assumptions!$B$27+(Assumptions!$B$28-Assumptions!$B$27)*19/23)*Assumptions!$B$29)/Assumptions!$B$5</f>
        <v/>
      </c>
      <c r="W11" s="85">
        <f>((Assumptions!$B$24+(Assumptions!$B$25-Assumptions!$B$24)*20/23)*Assumptions!$B$26+(Assumptions!$B$27+(Assumptions!$B$28-Assumptions!$B$27)*20/23)*Assumptions!$B$29)/Assumptions!$B$5</f>
        <v/>
      </c>
      <c r="X11" s="85">
        <f>((Assumptions!$B$24+(Assumptions!$B$25-Assumptions!$B$24)*21/23)*Assumptions!$B$26+(Assumptions!$B$27+(Assumptions!$B$28-Assumptions!$B$27)*21/23)*Assumptions!$B$29)/Assumptions!$B$5</f>
        <v/>
      </c>
      <c r="Y11" s="85">
        <f>((Assumptions!$B$24+(Assumptions!$B$25-Assumptions!$B$24)*22/23)*Assumptions!$B$26+(Assumptions!$B$27+(Assumptions!$B$28-Assumptions!$B$27)*22/23)*Assumptions!$B$29)/Assumptions!$B$5</f>
        <v/>
      </c>
      <c r="Z11" s="85">
        <f>((Assumptions!$B$24+(Assumptions!$B$25-Assumptions!$B$24)*23/23)*Assumptions!$B$26+(Assumptions!$B$27+(Assumptions!$B$28-Assumptions!$B$27)*23/23)*Assumptions!$B$29)/Assumptions!$B$5</f>
        <v/>
      </c>
      <c r="AA11" s="84">
        <f>SUM(C11:Z11)</f>
        <v/>
      </c>
      <c r="AB11" s="84">
        <f>SUM(C11:N11)</f>
        <v/>
      </c>
      <c r="AC11" s="84">
        <f>SUM(O11:Z11)</f>
        <v/>
      </c>
    </row>
    <row r="12" ht="24" customHeight="1" s="52">
      <c r="A12" s="86" t="inlineStr">
        <is>
          <t>TOTAL REVENUE (gross)</t>
        </is>
      </c>
      <c r="B12" s="60" t="n"/>
      <c r="C12" s="87">
        <f>C10+C11</f>
        <v/>
      </c>
      <c r="D12" s="87">
        <f>D10+D11</f>
        <v/>
      </c>
      <c r="E12" s="87">
        <f>E10+E11</f>
        <v/>
      </c>
      <c r="F12" s="87">
        <f>F10+F11</f>
        <v/>
      </c>
      <c r="G12" s="87">
        <f>G10+G11</f>
        <v/>
      </c>
      <c r="H12" s="87">
        <f>H10+H11</f>
        <v/>
      </c>
      <c r="I12" s="87">
        <f>I10+I11</f>
        <v/>
      </c>
      <c r="J12" s="87">
        <f>J10+J11</f>
        <v/>
      </c>
      <c r="K12" s="87">
        <f>K10+K11</f>
        <v/>
      </c>
      <c r="L12" s="87">
        <f>L10+L11</f>
        <v/>
      </c>
      <c r="M12" s="87">
        <f>M10+M11</f>
        <v/>
      </c>
      <c r="N12" s="87">
        <f>N10+N11</f>
        <v/>
      </c>
      <c r="O12" s="87">
        <f>O10+O11</f>
        <v/>
      </c>
      <c r="P12" s="87">
        <f>P10+P11</f>
        <v/>
      </c>
      <c r="Q12" s="87">
        <f>Q10+Q11</f>
        <v/>
      </c>
      <c r="R12" s="87">
        <f>R10+R11</f>
        <v/>
      </c>
      <c r="S12" s="87">
        <f>S10+S11</f>
        <v/>
      </c>
      <c r="T12" s="87">
        <f>T10+T11</f>
        <v/>
      </c>
      <c r="U12" s="87">
        <f>U10+U11</f>
        <v/>
      </c>
      <c r="V12" s="87">
        <f>V10+V11</f>
        <v/>
      </c>
      <c r="W12" s="87">
        <f>W10+W11</f>
        <v/>
      </c>
      <c r="X12" s="87">
        <f>X10+X11</f>
        <v/>
      </c>
      <c r="Y12" s="87">
        <f>Y10+Y11</f>
        <v/>
      </c>
      <c r="Z12" s="87">
        <f>Z10+Z11</f>
        <v/>
      </c>
      <c r="AA12" s="87">
        <f>SUM(C12:Z12)</f>
        <v/>
      </c>
      <c r="AB12" s="87">
        <f>SUM(C12:N12)</f>
        <v/>
      </c>
      <c r="AC12" s="87">
        <f>SUM(O12:Z12)</f>
        <v/>
      </c>
    </row>
    <row r="13" ht="24" customHeight="1" s="52">
      <c r="A13" s="57" t="inlineStr">
        <is>
          <t>── CONTRIBUTION &amp; EBITDA (USD) ──</t>
        </is>
      </c>
      <c r="B13" s="57" t="n"/>
      <c r="C13" s="88" t="n"/>
      <c r="D13" s="88" t="n"/>
      <c r="E13" s="88" t="n"/>
      <c r="F13" s="88" t="n"/>
      <c r="G13" s="88" t="n"/>
      <c r="H13" s="88" t="n"/>
      <c r="I13" s="88" t="n"/>
      <c r="J13" s="88" t="n"/>
      <c r="K13" s="88" t="n"/>
      <c r="L13" s="88" t="n"/>
      <c r="M13" s="88" t="n"/>
      <c r="N13" s="88" t="n"/>
      <c r="O13" s="88" t="n"/>
      <c r="P13" s="88" t="n"/>
      <c r="Q13" s="88" t="n"/>
      <c r="R13" s="88" t="n"/>
      <c r="S13" s="88" t="n"/>
      <c r="T13" s="88" t="n"/>
      <c r="U13" s="88" t="n"/>
      <c r="V13" s="88" t="n"/>
      <c r="W13" s="88" t="n"/>
      <c r="X13" s="88" t="n"/>
      <c r="Y13" s="88" t="n"/>
      <c r="Z13" s="88" t="n"/>
      <c r="AA13" s="88" t="n"/>
      <c r="AB13" s="88" t="n"/>
      <c r="AC13" s="88" t="n"/>
    </row>
    <row r="14" ht="24" customHeight="1" s="52">
      <c r="A14" s="60" t="inlineStr">
        <is>
          <t>Brokerage contribution (40%)</t>
        </is>
      </c>
      <c r="B14" s="60" t="n"/>
      <c r="C14" s="83">
        <f>C10*Assumptions!$B$7</f>
        <v/>
      </c>
      <c r="D14" s="83">
        <f>D10*Assumptions!$B$7</f>
        <v/>
      </c>
      <c r="E14" s="83">
        <f>E10*Assumptions!$B$7</f>
        <v/>
      </c>
      <c r="F14" s="83">
        <f>F10*Assumptions!$B$7</f>
        <v/>
      </c>
      <c r="G14" s="83">
        <f>G10*Assumptions!$B$7</f>
        <v/>
      </c>
      <c r="H14" s="83">
        <f>H10*Assumptions!$B$7</f>
        <v/>
      </c>
      <c r="I14" s="83">
        <f>I10*Assumptions!$B$7</f>
        <v/>
      </c>
      <c r="J14" s="83">
        <f>J10*Assumptions!$B$7</f>
        <v/>
      </c>
      <c r="K14" s="83">
        <f>K10*Assumptions!$B$7</f>
        <v/>
      </c>
      <c r="L14" s="83">
        <f>L10*Assumptions!$B$7</f>
        <v/>
      </c>
      <c r="M14" s="83">
        <f>M10*Assumptions!$B$7</f>
        <v/>
      </c>
      <c r="N14" s="83">
        <f>N10*Assumptions!$B$7</f>
        <v/>
      </c>
      <c r="O14" s="83">
        <f>O10*Assumptions!$B$7</f>
        <v/>
      </c>
      <c r="P14" s="83">
        <f>P10*Assumptions!$B$7</f>
        <v/>
      </c>
      <c r="Q14" s="83">
        <f>Q10*Assumptions!$B$7</f>
        <v/>
      </c>
      <c r="R14" s="83">
        <f>R10*Assumptions!$B$7</f>
        <v/>
      </c>
      <c r="S14" s="83">
        <f>S10*Assumptions!$B$7</f>
        <v/>
      </c>
      <c r="T14" s="83">
        <f>T10*Assumptions!$B$7</f>
        <v/>
      </c>
      <c r="U14" s="83">
        <f>U10*Assumptions!$B$7</f>
        <v/>
      </c>
      <c r="V14" s="83">
        <f>V10*Assumptions!$B$7</f>
        <v/>
      </c>
      <c r="W14" s="83">
        <f>W10*Assumptions!$B$7</f>
        <v/>
      </c>
      <c r="X14" s="83">
        <f>X10*Assumptions!$B$7</f>
        <v/>
      </c>
      <c r="Y14" s="83">
        <f>Y10*Assumptions!$B$7</f>
        <v/>
      </c>
      <c r="Z14" s="83">
        <f>Z10*Assumptions!$B$7</f>
        <v/>
      </c>
      <c r="AA14" s="84">
        <f>SUM(C14:Z14)</f>
        <v/>
      </c>
      <c r="AB14" s="84">
        <f>SUM(C14:N14)</f>
        <v/>
      </c>
      <c r="AC14" s="84">
        <f>SUM(O14:Z14)</f>
        <v/>
      </c>
    </row>
    <row r="15" ht="24" customHeight="1" s="52">
      <c r="A15" s="56" t="inlineStr">
        <is>
          <t>SaaS contribution (50%)</t>
        </is>
      </c>
      <c r="B15" s="56" t="n"/>
      <c r="C15" s="85">
        <f>C11*Assumptions!$B$30</f>
        <v/>
      </c>
      <c r="D15" s="85">
        <f>D11*Assumptions!$B$30</f>
        <v/>
      </c>
      <c r="E15" s="85">
        <f>E11*Assumptions!$B$30</f>
        <v/>
      </c>
      <c r="F15" s="85">
        <f>F11*Assumptions!$B$30</f>
        <v/>
      </c>
      <c r="G15" s="85">
        <f>G11*Assumptions!$B$30</f>
        <v/>
      </c>
      <c r="H15" s="85">
        <f>H11*Assumptions!$B$30</f>
        <v/>
      </c>
      <c r="I15" s="85">
        <f>I11*Assumptions!$B$30</f>
        <v/>
      </c>
      <c r="J15" s="85">
        <f>J11*Assumptions!$B$30</f>
        <v/>
      </c>
      <c r="K15" s="85">
        <f>K11*Assumptions!$B$30</f>
        <v/>
      </c>
      <c r="L15" s="85">
        <f>L11*Assumptions!$B$30</f>
        <v/>
      </c>
      <c r="M15" s="85">
        <f>M11*Assumptions!$B$30</f>
        <v/>
      </c>
      <c r="N15" s="85">
        <f>N11*Assumptions!$B$30</f>
        <v/>
      </c>
      <c r="O15" s="85">
        <f>O11*Assumptions!$B$30</f>
        <v/>
      </c>
      <c r="P15" s="85">
        <f>P11*Assumptions!$B$30</f>
        <v/>
      </c>
      <c r="Q15" s="85">
        <f>Q11*Assumptions!$B$30</f>
        <v/>
      </c>
      <c r="R15" s="85">
        <f>R11*Assumptions!$B$30</f>
        <v/>
      </c>
      <c r="S15" s="85">
        <f>S11*Assumptions!$B$30</f>
        <v/>
      </c>
      <c r="T15" s="85">
        <f>T11*Assumptions!$B$30</f>
        <v/>
      </c>
      <c r="U15" s="85">
        <f>U11*Assumptions!$B$30</f>
        <v/>
      </c>
      <c r="V15" s="85">
        <f>V11*Assumptions!$B$30</f>
        <v/>
      </c>
      <c r="W15" s="85">
        <f>W11*Assumptions!$B$30</f>
        <v/>
      </c>
      <c r="X15" s="85">
        <f>X11*Assumptions!$B$30</f>
        <v/>
      </c>
      <c r="Y15" s="85">
        <f>Y11*Assumptions!$B$30</f>
        <v/>
      </c>
      <c r="Z15" s="85">
        <f>Z11*Assumptions!$B$30</f>
        <v/>
      </c>
      <c r="AA15" s="84">
        <f>SUM(C15:Z15)</f>
        <v/>
      </c>
      <c r="AB15" s="84">
        <f>SUM(C15:N15)</f>
        <v/>
      </c>
      <c r="AC15" s="84">
        <f>SUM(O15:Z15)</f>
        <v/>
      </c>
    </row>
    <row r="16" ht="24" customHeight="1" s="52">
      <c r="A16" s="60" t="inlineStr">
        <is>
          <t>Corporate overhead (team, infra, G&amp;A)</t>
        </is>
      </c>
      <c r="B16" s="60" t="n"/>
      <c r="C16" s="83">
        <f>-Assumptions!$B$33</f>
        <v/>
      </c>
      <c r="D16" s="83">
        <f>-Assumptions!$B$33</f>
        <v/>
      </c>
      <c r="E16" s="83">
        <f>-Assumptions!$B$33</f>
        <v/>
      </c>
      <c r="F16" s="83">
        <f>-Assumptions!$B$33</f>
        <v/>
      </c>
      <c r="G16" s="83">
        <f>-Assumptions!$B$33</f>
        <v/>
      </c>
      <c r="H16" s="83">
        <f>-Assumptions!$B$33</f>
        <v/>
      </c>
      <c r="I16" s="83">
        <f>-Assumptions!$B$33</f>
        <v/>
      </c>
      <c r="J16" s="83">
        <f>-Assumptions!$B$33</f>
        <v/>
      </c>
      <c r="K16" s="83">
        <f>-Assumptions!$B$33</f>
        <v/>
      </c>
      <c r="L16" s="83">
        <f>-Assumptions!$B$33</f>
        <v/>
      </c>
      <c r="M16" s="83">
        <f>-Assumptions!$B$33</f>
        <v/>
      </c>
      <c r="N16" s="83">
        <f>-Assumptions!$B$33</f>
        <v/>
      </c>
      <c r="O16" s="83">
        <f>-Assumptions!$B$33</f>
        <v/>
      </c>
      <c r="P16" s="83">
        <f>-Assumptions!$B$33</f>
        <v/>
      </c>
      <c r="Q16" s="83">
        <f>-Assumptions!$B$33</f>
        <v/>
      </c>
      <c r="R16" s="83">
        <f>-Assumptions!$B$33</f>
        <v/>
      </c>
      <c r="S16" s="83">
        <f>-Assumptions!$B$33</f>
        <v/>
      </c>
      <c r="T16" s="83">
        <f>-Assumptions!$B$33</f>
        <v/>
      </c>
      <c r="U16" s="83">
        <f>-Assumptions!$B$33</f>
        <v/>
      </c>
      <c r="V16" s="83">
        <f>-Assumptions!$B$33</f>
        <v/>
      </c>
      <c r="W16" s="83">
        <f>-Assumptions!$B$33</f>
        <v/>
      </c>
      <c r="X16" s="83">
        <f>-Assumptions!$B$33</f>
        <v/>
      </c>
      <c r="Y16" s="83">
        <f>-Assumptions!$B$33</f>
        <v/>
      </c>
      <c r="Z16" s="83">
        <f>-Assumptions!$B$33</f>
        <v/>
      </c>
      <c r="AA16" s="84">
        <f>SUM(C16:Z16)</f>
        <v/>
      </c>
      <c r="AB16" s="84">
        <f>SUM(C16:N16)</f>
        <v/>
      </c>
      <c r="AC16" s="84">
        <f>SUM(O16:Z16)</f>
        <v/>
      </c>
    </row>
    <row r="17" ht="24" customHeight="1" s="52">
      <c r="A17" s="57" t="inlineStr">
        <is>
          <t>EBITDA</t>
        </is>
      </c>
      <c r="B17" s="57" t="n"/>
      <c r="C17" s="88">
        <f>C14+C15+C16</f>
        <v/>
      </c>
      <c r="D17" s="88">
        <f>D14+D15+D16</f>
        <v/>
      </c>
      <c r="E17" s="88">
        <f>E14+E15+E16</f>
        <v/>
      </c>
      <c r="F17" s="88">
        <f>F14+F15+F16</f>
        <v/>
      </c>
      <c r="G17" s="88">
        <f>G14+G15+G16</f>
        <v/>
      </c>
      <c r="H17" s="88">
        <f>H14+H15+H16</f>
        <v/>
      </c>
      <c r="I17" s="88">
        <f>I14+I15+I16</f>
        <v/>
      </c>
      <c r="J17" s="88">
        <f>J14+J15+J16</f>
        <v/>
      </c>
      <c r="K17" s="88">
        <f>K14+K15+K16</f>
        <v/>
      </c>
      <c r="L17" s="88">
        <f>L14+L15+L16</f>
        <v/>
      </c>
      <c r="M17" s="88">
        <f>M14+M15+M16</f>
        <v/>
      </c>
      <c r="N17" s="88">
        <f>N14+N15+N16</f>
        <v/>
      </c>
      <c r="O17" s="88">
        <f>O14+O15+O16</f>
        <v/>
      </c>
      <c r="P17" s="88">
        <f>P14+P15+P16</f>
        <v/>
      </c>
      <c r="Q17" s="88">
        <f>Q14+Q15+Q16</f>
        <v/>
      </c>
      <c r="R17" s="88">
        <f>R14+R15+R16</f>
        <v/>
      </c>
      <c r="S17" s="88">
        <f>S14+S15+S16</f>
        <v/>
      </c>
      <c r="T17" s="88">
        <f>T14+T15+T16</f>
        <v/>
      </c>
      <c r="U17" s="88">
        <f>U14+U15+U16</f>
        <v/>
      </c>
      <c r="V17" s="88">
        <f>V14+V15+V16</f>
        <v/>
      </c>
      <c r="W17" s="88">
        <f>W14+W15+W16</f>
        <v/>
      </c>
      <c r="X17" s="88">
        <f>X14+X15+X16</f>
        <v/>
      </c>
      <c r="Y17" s="88">
        <f>Y14+Y15+Y16</f>
        <v/>
      </c>
      <c r="Z17" s="88">
        <f>Z14+Z15+Z16</f>
        <v/>
      </c>
      <c r="AA17" s="88">
        <f>SUM(C17:Z17)</f>
        <v/>
      </c>
      <c r="AB17" s="88">
        <f>SUM(C17:N17)</f>
        <v/>
      </c>
      <c r="AC17" s="88">
        <f>SUM(O17:Z17)</f>
        <v/>
      </c>
    </row>
    <row r="18" ht="24" customHeight="1" s="52">
      <c r="A18" s="60" t="inlineStr">
        <is>
          <t>Capital raised (Pre-Seed, M1)</t>
        </is>
      </c>
      <c r="B18" s="60" t="n"/>
      <c r="C18" s="83">
        <f>Assumptions!$B$34</f>
        <v/>
      </c>
      <c r="D18" s="83" t="n">
        <v>0</v>
      </c>
      <c r="E18" s="83" t="n">
        <v>0</v>
      </c>
      <c r="F18" s="83" t="n">
        <v>0</v>
      </c>
      <c r="G18" s="83" t="n">
        <v>0</v>
      </c>
      <c r="H18" s="83" t="n">
        <v>0</v>
      </c>
      <c r="I18" s="83" t="n">
        <v>0</v>
      </c>
      <c r="J18" s="83" t="n">
        <v>0</v>
      </c>
      <c r="K18" s="83" t="n">
        <v>0</v>
      </c>
      <c r="L18" s="83" t="n">
        <v>0</v>
      </c>
      <c r="M18" s="83" t="n">
        <v>0</v>
      </c>
      <c r="N18" s="83" t="n">
        <v>0</v>
      </c>
      <c r="O18" s="83" t="n">
        <v>0</v>
      </c>
      <c r="P18" s="83" t="n">
        <v>0</v>
      </c>
      <c r="Q18" s="83" t="n">
        <v>0</v>
      </c>
      <c r="R18" s="83" t="n">
        <v>0</v>
      </c>
      <c r="S18" s="83" t="n">
        <v>0</v>
      </c>
      <c r="T18" s="83" t="n">
        <v>0</v>
      </c>
      <c r="U18" s="83" t="n">
        <v>0</v>
      </c>
      <c r="V18" s="83" t="n">
        <v>0</v>
      </c>
      <c r="W18" s="83" t="n">
        <v>0</v>
      </c>
      <c r="X18" s="83" t="n">
        <v>0</v>
      </c>
      <c r="Y18" s="83" t="n">
        <v>0</v>
      </c>
      <c r="Z18" s="83" t="n">
        <v>0</v>
      </c>
      <c r="AA18" s="84">
        <f>SUM(C18:Z18)</f>
        <v/>
      </c>
      <c r="AB18" s="84">
        <f>SUM(C18:N18)</f>
        <v/>
      </c>
      <c r="AC18" s="84">
        <f>SUM(O18:Z18)</f>
        <v/>
      </c>
    </row>
    <row r="19" ht="24" customHeight="1" s="52">
      <c r="A19" s="89" t="inlineStr">
        <is>
          <t>Net Cash Flow</t>
        </is>
      </c>
      <c r="B19" s="56" t="n"/>
      <c r="C19" s="85">
        <f>C17+C18</f>
        <v/>
      </c>
      <c r="D19" s="85">
        <f>D17+D18</f>
        <v/>
      </c>
      <c r="E19" s="85">
        <f>E17+E18</f>
        <v/>
      </c>
      <c r="F19" s="85">
        <f>F17+F18</f>
        <v/>
      </c>
      <c r="G19" s="85">
        <f>G17+G18</f>
        <v/>
      </c>
      <c r="H19" s="85">
        <f>H17+H18</f>
        <v/>
      </c>
      <c r="I19" s="85">
        <f>I17+I18</f>
        <v/>
      </c>
      <c r="J19" s="85">
        <f>J17+J18</f>
        <v/>
      </c>
      <c r="K19" s="85">
        <f>K17+K18</f>
        <v/>
      </c>
      <c r="L19" s="85">
        <f>L17+L18</f>
        <v/>
      </c>
      <c r="M19" s="85">
        <f>M17+M18</f>
        <v/>
      </c>
      <c r="N19" s="85">
        <f>N17+N18</f>
        <v/>
      </c>
      <c r="O19" s="85">
        <f>O17+O18</f>
        <v/>
      </c>
      <c r="P19" s="85">
        <f>P17+P18</f>
        <v/>
      </c>
      <c r="Q19" s="85">
        <f>Q17+Q18</f>
        <v/>
      </c>
      <c r="R19" s="85">
        <f>R17+R18</f>
        <v/>
      </c>
      <c r="S19" s="85">
        <f>S17+S18</f>
        <v/>
      </c>
      <c r="T19" s="85">
        <f>T17+T18</f>
        <v/>
      </c>
      <c r="U19" s="85">
        <f>U17+U18</f>
        <v/>
      </c>
      <c r="V19" s="85">
        <f>V17+V18</f>
        <v/>
      </c>
      <c r="W19" s="85">
        <f>W17+W18</f>
        <v/>
      </c>
      <c r="X19" s="85">
        <f>X17+X18</f>
        <v/>
      </c>
      <c r="Y19" s="85">
        <f>Y17+Y18</f>
        <v/>
      </c>
      <c r="Z19" s="85">
        <f>Z17+Z18</f>
        <v/>
      </c>
      <c r="AA19" s="85" t="n"/>
      <c r="AB19" s="85" t="n"/>
      <c r="AC19" s="85" t="n"/>
    </row>
    <row r="20" ht="24" customHeight="1" s="52">
      <c r="A20" s="90" t="inlineStr">
        <is>
          <t>Cumulative Cash Balance</t>
        </is>
      </c>
      <c r="B20" s="60" t="n"/>
      <c r="C20" s="91">
        <f>C19</f>
        <v/>
      </c>
      <c r="D20" s="91">
        <f>C20+D19</f>
        <v/>
      </c>
      <c r="E20" s="91">
        <f>D20+E19</f>
        <v/>
      </c>
      <c r="F20" s="91">
        <f>E20+F19</f>
        <v/>
      </c>
      <c r="G20" s="91">
        <f>F20+G19</f>
        <v/>
      </c>
      <c r="H20" s="91">
        <f>G20+H19</f>
        <v/>
      </c>
      <c r="I20" s="91">
        <f>H20+I19</f>
        <v/>
      </c>
      <c r="J20" s="91">
        <f>I20+J19</f>
        <v/>
      </c>
      <c r="K20" s="91">
        <f>J20+K19</f>
        <v/>
      </c>
      <c r="L20" s="91">
        <f>K20+L19</f>
        <v/>
      </c>
      <c r="M20" s="91">
        <f>L20+M19</f>
        <v/>
      </c>
      <c r="N20" s="91">
        <f>M20+N19</f>
        <v/>
      </c>
      <c r="O20" s="91">
        <f>N20+O19</f>
        <v/>
      </c>
      <c r="P20" s="91">
        <f>O20+P19</f>
        <v/>
      </c>
      <c r="Q20" s="91">
        <f>P20+Q19</f>
        <v/>
      </c>
      <c r="R20" s="91">
        <f>Q20+R19</f>
        <v/>
      </c>
      <c r="S20" s="91">
        <f>R20+S19</f>
        <v/>
      </c>
      <c r="T20" s="91">
        <f>S20+T19</f>
        <v/>
      </c>
      <c r="U20" s="91">
        <f>T20+U19</f>
        <v/>
      </c>
      <c r="V20" s="91">
        <f>U20+V19</f>
        <v/>
      </c>
      <c r="W20" s="91">
        <f>V20+W19</f>
        <v/>
      </c>
      <c r="X20" s="91">
        <f>W20+X19</f>
        <v/>
      </c>
      <c r="Y20" s="91">
        <f>X20+Y19</f>
        <v/>
      </c>
      <c r="Z20" s="91">
        <f>Y20+Z19</f>
        <v/>
      </c>
      <c r="AA20" s="91">
        <f>Z20</f>
        <v/>
      </c>
      <c r="AB20" s="83" t="n"/>
      <c r="AC20" s="83" t="n"/>
    </row>
    <row r="21" ht="24" customHeight="1" s="52">
      <c r="A21" s="56" t="inlineStr">
        <is>
          <t>EBITDA Margin %</t>
        </is>
      </c>
      <c r="B21" s="56" t="n"/>
      <c r="C21" s="82">
        <f>IF(C12=0,"-",C17/C12)</f>
        <v/>
      </c>
      <c r="D21" s="82">
        <f>IF(D12=0,"-",D17/D12)</f>
        <v/>
      </c>
      <c r="E21" s="82">
        <f>IF(E12=0,"-",E17/E12)</f>
        <v/>
      </c>
      <c r="F21" s="82">
        <f>IF(F12=0,"-",F17/F12)</f>
        <v/>
      </c>
      <c r="G21" s="82">
        <f>IF(G12=0,"-",G17/G12)</f>
        <v/>
      </c>
      <c r="H21" s="82">
        <f>IF(H12=0,"-",H17/H12)</f>
        <v/>
      </c>
      <c r="I21" s="82">
        <f>IF(I12=0,"-",I17/I12)</f>
        <v/>
      </c>
      <c r="J21" s="82">
        <f>IF(J12=0,"-",J17/J12)</f>
        <v/>
      </c>
      <c r="K21" s="82">
        <f>IF(K12=0,"-",K17/K12)</f>
        <v/>
      </c>
      <c r="L21" s="82">
        <f>IF(L12=0,"-",L17/L12)</f>
        <v/>
      </c>
      <c r="M21" s="82">
        <f>IF(M12=0,"-",M17/M12)</f>
        <v/>
      </c>
      <c r="N21" s="82">
        <f>IF(N12=0,"-",N17/N12)</f>
        <v/>
      </c>
      <c r="O21" s="82">
        <f>IF(O12=0,"-",O17/O12)</f>
        <v/>
      </c>
      <c r="P21" s="82">
        <f>IF(P12=0,"-",P17/P12)</f>
        <v/>
      </c>
      <c r="Q21" s="82">
        <f>IF(Q12=0,"-",Q17/Q12)</f>
        <v/>
      </c>
      <c r="R21" s="82">
        <f>IF(R12=0,"-",R17/R12)</f>
        <v/>
      </c>
      <c r="S21" s="82">
        <f>IF(S12=0,"-",S17/S12)</f>
        <v/>
      </c>
      <c r="T21" s="82">
        <f>IF(T12=0,"-",T17/T12)</f>
        <v/>
      </c>
      <c r="U21" s="82">
        <f>IF(U12=0,"-",U17/U12)</f>
        <v/>
      </c>
      <c r="V21" s="82">
        <f>IF(V12=0,"-",V17/V12)</f>
        <v/>
      </c>
      <c r="W21" s="82">
        <f>IF(W12=0,"-",W17/W12)</f>
        <v/>
      </c>
      <c r="X21" s="82">
        <f>IF(X12=0,"-",X17/X12)</f>
        <v/>
      </c>
      <c r="Y21" s="82">
        <f>IF(Y12=0,"-",Y17/Y12)</f>
        <v/>
      </c>
      <c r="Z21" s="82">
        <f>IF(Z12=0,"-",Z17/Z12)</f>
        <v/>
      </c>
      <c r="AA21" s="82" t="n"/>
      <c r="AB21" s="82" t="n"/>
      <c r="AC21" s="82" t="n"/>
    </row>
    <row r="22" ht="24" customHeight="1" s="52">
      <c r="A22" s="60" t="n"/>
      <c r="B22" s="60" t="n"/>
      <c r="C22" s="60" t="n"/>
      <c r="D22" s="60" t="n"/>
      <c r="E22" s="60" t="n"/>
      <c r="F22" s="60" t="n"/>
      <c r="G22" s="60" t="n"/>
      <c r="H22" s="60" t="n"/>
      <c r="I22" s="60" t="n"/>
      <c r="J22" s="60" t="n"/>
      <c r="K22" s="60" t="n"/>
      <c r="L22" s="60" t="n"/>
      <c r="M22" s="60" t="n"/>
      <c r="N22" s="60" t="n"/>
      <c r="O22" s="60" t="n"/>
      <c r="P22" s="60" t="n"/>
      <c r="Q22" s="60" t="n"/>
      <c r="R22" s="60" t="n"/>
      <c r="S22" s="60" t="n"/>
      <c r="T22" s="60" t="n"/>
      <c r="U22" s="60" t="n"/>
      <c r="V22" s="60" t="n"/>
      <c r="W22" s="60" t="n"/>
      <c r="X22" s="60" t="n"/>
      <c r="Y22" s="60" t="n"/>
      <c r="Z22" s="60" t="n"/>
      <c r="AA22" s="60" t="n"/>
      <c r="AB22" s="60" t="n"/>
      <c r="AC22" s="60" t="n"/>
    </row>
    <row r="23" ht="24" customHeight="1" s="52">
      <c r="A23" s="56" t="inlineStr">
        <is>
          <t>Roadmap note: peak sold volume reaches ~1,000 units/month after the RM organization matures to 40 people, including 6 team leads/managers.</t>
        </is>
      </c>
      <c r="B23" s="56" t="n"/>
      <c r="C23" s="56" t="n"/>
      <c r="D23" s="56" t="n"/>
      <c r="E23" s="56" t="n"/>
      <c r="F23" s="56" t="n"/>
      <c r="G23" s="56" t="n"/>
      <c r="H23" s="56" t="n"/>
      <c r="I23" s="56" t="n"/>
      <c r="J23" s="56" t="n"/>
      <c r="K23" s="56" t="n"/>
      <c r="L23" s="56" t="n"/>
      <c r="M23" s="56" t="n"/>
      <c r="N23" s="56" t="n"/>
      <c r="O23" s="56" t="n"/>
      <c r="P23" s="56" t="n"/>
      <c r="Q23" s="56" t="n"/>
      <c r="R23" s="56" t="n"/>
      <c r="S23" s="56" t="n"/>
      <c r="T23" s="56" t="n"/>
      <c r="U23" s="56" t="n"/>
      <c r="V23" s="56" t="n"/>
      <c r="W23" s="56" t="n"/>
      <c r="X23" s="56" t="n"/>
      <c r="Y23" s="56" t="n"/>
      <c r="Z23" s="56" t="n"/>
      <c r="AA23" s="56" t="n"/>
      <c r="AB23" s="56" t="n"/>
      <c r="AC23" s="56" t="n"/>
    </row>
  </sheetData>
  <mergeCells count="6">
    <mergeCell ref="A13:AC13"/>
    <mergeCell ref="A1:AC1"/>
    <mergeCell ref="A23:AC23"/>
    <mergeCell ref="A9:AC9"/>
    <mergeCell ref="A4:AC4"/>
    <mergeCell ref="A2:AC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5.xml><?xml version="1.0" encoding="utf-8"?>
<worksheet xmlns="http://schemas.openxmlformats.org/spreadsheetml/2006/main">
  <sheetPr filterMode="0">
    <tabColor rgb="008B5CF6"/>
    <outlinePr summaryBelow="1" summaryRight="1"/>
    <pageSetUpPr fitToPage="0"/>
  </sheetPr>
  <dimension ref="A1:D31"/>
  <sheetViews>
    <sheetView showFormulas="0" showGridLines="0" showRowColHeaders="1" showZeros="1" rightToLeft="0" tabSelected="0" showOutlineSymbols="1" defaultGridColor="1" view="normal" topLeftCell="A1" colorId="64" zoomScale="90" zoomScaleNormal="100" zoomScalePageLayoutView="100" workbookViewId="0">
      <pane ySplit="3" topLeftCell="A4" activePane="bottomLeft" state="frozen"/>
      <selection pane="bottomLeft" activeCell="A1" activeCellId="0" sqref="A1"/>
    </sheetView>
  </sheetViews>
  <sheetFormatPr baseColWidth="8" defaultColWidth="8.6796875" defaultRowHeight="15" zeroHeight="0" outlineLevelRow="0"/>
  <cols>
    <col width="46" customWidth="1" style="51" min="1" max="1"/>
    <col width="20" customWidth="1" style="51" min="2" max="4"/>
    <col width="20" customWidth="1" style="52" min="3" max="3"/>
    <col width="24" customWidth="1" style="52" min="4" max="4"/>
  </cols>
  <sheetData>
    <row r="1" ht="30" customHeight="1" s="52">
      <c r="A1" s="53" t="inlineStr">
        <is>
          <t>THE TWO-ROUND THESIS - Conditional Web2 Growth Path</t>
        </is>
      </c>
      <c r="B1" s="54" t="n"/>
      <c r="C1" s="54" t="n"/>
      <c r="D1" s="54" t="n"/>
    </row>
    <row r="2" ht="34" customHeight="1" s="52">
      <c r="A2" s="55" t="inlineStr">
        <is>
          <t>Pre-seed proves the model with capital-efficient RMs. A potential Growth Round funds heavier scale only if proof points are met.</t>
        </is>
      </c>
      <c r="B2" s="54" t="n"/>
      <c r="C2" s="54" t="n"/>
      <c r="D2" s="54" t="n"/>
    </row>
    <row r="3" ht="8" customHeight="1" s="52">
      <c r="A3" s="56" t="n"/>
      <c r="B3" s="56" t="n"/>
      <c r="C3" s="56" t="n"/>
      <c r="D3" s="56" t="n"/>
    </row>
    <row r="4" ht="24" customHeight="1" s="52">
      <c r="A4" s="57" t="inlineStr">
        <is>
          <t>STEP 1 — PRE-SEED ENTRY (TODAY)</t>
        </is>
      </c>
      <c r="B4" s="57" t="n"/>
      <c r="C4" s="57" t="n"/>
      <c r="D4" s="57" t="n"/>
    </row>
    <row r="5" ht="15" customHeight="1" s="52">
      <c r="A5" s="56" t="inlineStr">
        <is>
          <t>Round size</t>
        </is>
      </c>
      <c r="B5" s="92" t="n">
        <v>2000000</v>
      </c>
      <c r="C5" s="56" t="n"/>
      <c r="D5" s="56" t="n"/>
    </row>
    <row r="6" ht="15" customHeight="1" s="52">
      <c r="A6" s="60" t="inlineStr">
        <is>
          <t>Valuation cap</t>
        </is>
      </c>
      <c r="B6" s="93" t="n">
        <v>10000000</v>
      </c>
      <c r="C6" s="60" t="n"/>
      <c r="D6" s="60" t="n"/>
    </row>
    <row r="7" ht="15" customHeight="1" s="52">
      <c r="A7" s="56" t="inlineStr">
        <is>
          <t>Discount to Growth Round</t>
        </is>
      </c>
      <c r="B7" s="94" t="n">
        <v>0.2</v>
      </c>
      <c r="C7" s="56" t="n"/>
      <c r="D7" s="56" t="n"/>
    </row>
    <row r="8" ht="15" customHeight="1" s="52">
      <c r="A8" s="60" t="inlineStr">
        <is>
          <t>Instrument</t>
        </is>
      </c>
      <c r="B8" s="95" t="inlineStr">
        <is>
          <t>SAFE</t>
        </is>
      </c>
      <c r="C8" s="60" t="n"/>
      <c r="D8" s="60" t="n"/>
    </row>
    <row r="9">
      <c r="A9" s="56" t="n"/>
      <c r="B9" s="96" t="n"/>
      <c r="C9" s="56" t="n"/>
      <c r="D9" s="56" t="n"/>
    </row>
    <row r="10" ht="24" customHeight="1" s="52">
      <c r="A10" s="57" t="inlineStr">
        <is>
          <t>STEP 2 — MODEL PROVEN (12 MONTHS)</t>
        </is>
      </c>
      <c r="B10" s="97" t="n"/>
      <c r="C10" s="57" t="n"/>
      <c r="D10" s="57" t="n"/>
    </row>
    <row r="11" ht="15" customHeight="1" s="52">
      <c r="A11" s="56" t="inlineStr">
        <is>
          <t>Peak gross run-rate (annualized)</t>
        </is>
      </c>
      <c r="B11" s="92" t="n">
        <v>27572308</v>
      </c>
      <c r="C11" s="56" t="n"/>
      <c r="D11" s="56" t="n"/>
    </row>
    <row r="12" ht="15" customHeight="1" s="52">
      <c r="A12" s="60" t="inlineStr">
        <is>
          <t>Breakeven reached</t>
        </is>
      </c>
      <c r="B12" s="95" t="inlineStr">
        <is>
          <t>Month 4</t>
        </is>
      </c>
      <c r="C12" s="60" t="n"/>
      <c r="D12" s="60" t="n"/>
    </row>
    <row r="13" ht="15" customHeight="1" s="52">
      <c r="A13" s="56" t="inlineStr">
        <is>
          <t>24-month cumulative revenue</t>
        </is>
      </c>
      <c r="B13" s="92" t="n">
        <v>28836650</v>
      </c>
      <c r="C13" s="56" t="n"/>
      <c r="D13" s="56" t="n"/>
    </row>
    <row r="14" ht="15" customHeight="1" s="52">
      <c r="A14" s="60" t="inlineStr">
        <is>
          <t>Signed anchor clients</t>
        </is>
      </c>
      <c r="B14" s="95" t="inlineStr">
        <is>
          <t>MRV, Vivaz/Cyrela, Canopus, Lopes, BRZ, Rôgga</t>
        </is>
      </c>
      <c r="C14" s="60" t="n"/>
      <c r="D14" s="60" t="n"/>
    </row>
    <row r="15">
      <c r="A15" s="56" t="n"/>
      <c r="B15" s="96" t="n"/>
      <c r="C15" s="56" t="n"/>
      <c r="D15" s="56" t="n"/>
    </row>
    <row r="16" ht="24" customHeight="1" s="52">
      <c r="A16" s="57" t="inlineStr">
        <is>
          <t>STEP 3 - POTENTIAL GROWTH ROUND (MONTH 12-18)</t>
        </is>
      </c>
      <c r="B16" s="97" t="n"/>
      <c r="C16" s="57" t="n"/>
      <c r="D16" s="57" t="n"/>
    </row>
    <row r="17" ht="15" customHeight="1" s="52">
      <c r="A17" s="56" t="inlineStr">
        <is>
          <t>Potential Growth Round target</t>
        </is>
      </c>
      <c r="B17" s="92" t="n">
        <v>20000000</v>
      </c>
      <c r="C17" s="56" t="n"/>
      <c r="D17" s="56" t="n"/>
    </row>
    <row r="18" ht="15" customHeight="1" s="52">
      <c r="A18" s="60" t="inlineStr">
        <is>
          <t>Growth Round post-money (conservative)</t>
        </is>
      </c>
      <c r="B18" s="93" t="n">
        <v>60000000</v>
      </c>
      <c r="C18" s="60" t="n"/>
      <c r="D18" s="60" t="n"/>
    </row>
    <row r="19" ht="15" customHeight="1" s="52">
      <c r="A19" s="56" t="inlineStr">
        <is>
          <t>Growth Round post-money (base)</t>
        </is>
      </c>
      <c r="B19" s="92" t="n">
        <v>80000000</v>
      </c>
      <c r="C19" s="56" t="n"/>
      <c r="D19" s="56" t="n"/>
    </row>
    <row r="20" ht="15" customHeight="1" s="52">
      <c r="A20" s="60" t="inlineStr">
        <is>
          <t>New-money dilution (conservative)</t>
        </is>
      </c>
      <c r="B20" s="98">
        <f>Assumptions!$B$40/Assumptions!$B$42</f>
        <v/>
      </c>
      <c r="C20" s="60" t="n"/>
      <c r="D20" s="60" t="n"/>
    </row>
    <row r="21">
      <c r="A21" s="56" t="n"/>
      <c r="B21" s="96" t="n"/>
      <c r="C21" s="56" t="n"/>
      <c r="D21" s="56" t="n"/>
    </row>
    <row r="22" ht="24" customHeight="1" s="52">
      <c r="A22" s="57" t="inlineStr">
        <is>
          <t>INVESTOR POSITION - ILLUSTRATIVE PAPER MARKUP</t>
        </is>
      </c>
      <c r="B22" s="97" t="n"/>
      <c r="C22" s="57" t="n"/>
      <c r="D22" s="57" t="n"/>
    </row>
    <row r="23" ht="15" customHeight="1" s="52">
      <c r="A23" s="56" t="n"/>
      <c r="B23" s="99" t="inlineStr">
        <is>
          <t>Conservative</t>
        </is>
      </c>
      <c r="C23" s="70" t="inlineStr">
        <is>
          <t>Base</t>
        </is>
      </c>
      <c r="D23" s="56" t="n"/>
    </row>
    <row r="24" ht="15" customHeight="1" s="52">
      <c r="A24" s="60" t="inlineStr">
        <is>
          <t>Entry cap to Growth Round post-money</t>
        </is>
      </c>
      <c r="B24" s="100" t="n">
        <v>6</v>
      </c>
      <c r="C24" s="101" t="n">
        <v>8</v>
      </c>
      <c r="D24" s="60" t="n"/>
    </row>
    <row r="25" ht="15" customHeight="1" s="52">
      <c r="A25" s="56" t="inlineStr">
        <is>
          <t>Illustrative markup net of Growth Round dilution</t>
        </is>
      </c>
      <c r="B25" s="102" t="n">
        <v>4</v>
      </c>
      <c r="C25" s="103" t="n">
        <v>6</v>
      </c>
      <c r="D25" s="56" t="n"/>
    </row>
    <row r="26">
      <c r="A26" s="60" t="n"/>
      <c r="B26" s="95" t="inlineStr">
        <is>
          <t>5.0%</t>
        </is>
      </c>
      <c r="C26" s="60" t="n"/>
      <c r="D26" s="60" t="n"/>
    </row>
    <row r="27" ht="15" customHeight="1" s="52">
      <c r="A27" s="56" t="inlineStr">
        <is>
          <t>Illustrative ticket USD 500K → stake at conversion</t>
        </is>
      </c>
      <c r="B27" s="104">
        <f>500000/Assumptions!$B$35</f>
        <v/>
      </c>
      <c r="C27" s="56" t="n"/>
      <c r="D27" s="56" t="n"/>
    </row>
    <row r="28">
      <c r="A28" s="60" t="n"/>
      <c r="B28" s="95" t="n"/>
      <c r="C28" s="60" t="n"/>
      <c r="D28" s="60" t="n"/>
    </row>
    <row r="29" ht="15" customHeight="1" s="52">
      <c r="A29" s="56" t="inlineStr">
        <is>
          <t>The investor enters at a disciplined early cap. If a Growth Round of up to USD 20M is raised at USD 60-80M post-money, the paper markup could be meaningful, subject to execution, market conditions, and dilution.</t>
        </is>
      </c>
      <c r="B29" s="96" t="n"/>
      <c r="C29" s="56" t="n"/>
      <c r="D29" s="56" t="n"/>
    </row>
    <row r="30" ht="15" customHeight="1" s="52">
      <c r="A30" s="60" t="n"/>
      <c r="B30" s="95" t="n"/>
      <c r="C30" s="60" t="n"/>
      <c r="D30" s="60" t="n"/>
    </row>
    <row r="31" ht="15" customHeight="1" s="52">
      <c r="A31" s="56" t="n"/>
      <c r="B31" s="96" t="n"/>
      <c r="C31" s="56" t="n"/>
      <c r="D31" s="56" t="n"/>
    </row>
  </sheetData>
  <mergeCells count="7">
    <mergeCell ref="A1:D1"/>
    <mergeCell ref="A22:D22"/>
    <mergeCell ref="A4:D4"/>
    <mergeCell ref="A16:D16"/>
    <mergeCell ref="A2:D2"/>
    <mergeCell ref="A29:D31"/>
    <mergeCell ref="A10:D10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2026-06-14T18:43:02Z</dcterms:created>
  <dcterms:modified xmlns:dcterms="http://purl.org/dc/terms/" xmlns:xsi="http://www.w3.org/2001/XMLSchema-instance" xsi:type="dcterms:W3CDTF">2026-06-16T01:04:25Z</dcterms:modified>
  <cp:revision>0</cp:revision>
</cp:coreProperties>
</file>