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Assumptions" sheetId="2" state="visible" r:id="rId4"/>
    <sheet name="Monthly P&amp;L" sheetId="3" state="visible" r:id="rId5"/>
    <sheet name="Bridge" sheetId="4" state="visible" r:id="rId6"/>
    <sheet name="Scenarios" sheetId="5" state="visible" r:id="rId7"/>
    <sheet name="Cash Flow" sheetId="6" state="visible" r:id="rId8"/>
    <sheet name="Use of Funds" sheetId="7" state="visible" r:id="rId9"/>
    <sheet name="Roadmap KPIs" sheetId="8" state="visible" r:id="rId10"/>
    <sheet name="Cap Table (template)" sheetId="9" state="visible" r:id="rId11"/>
    <sheet name="Operating Drivers" sheetId="10" state="visible" r:id="rId12"/>
    <sheet name="Cash Flow (WC)" sheetId="11" state="visible" r:id="rId13"/>
    <sheet name="Scenario Stress (Legacy)" sheetId="12" state="visible" r:id="rId14"/>
    <sheet name="Scenario Stress" sheetId="13" state="visible" r:id="rId15"/>
    <sheet name="SAFE Illustration" sheetId="14" state="visible" r:id="rId16"/>
    <sheet name="Actuals (anonymized)" sheetId="15" state="visible" r:id="rId17"/>
    <sheet name="RM Cohorts (anonymized)" sheetId="16" state="visible" r:id="rId18"/>
    <sheet name="Sources &amp; Audit" sheetId="17" state="visible" r:id="rId19"/>
    <sheet name="Checks" sheetId="18" state="visible" r:id="rId20"/>
    <sheet name="Investor Summary" sheetId="19" state="visible" r:id="rId21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1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Source: management assumption provided 2026-06-29. No sensitive transaction data disclosed.</t>
        </r>
      </text>
    </comment>
    <comment ref="B4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Source: management ceiling of BRL 1,000 media cost per MCMV conversion.</t>
        </r>
      </text>
    </comment>
    <comment ref="B46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Model basis: BRL 4,083.33 cost-to-close preserves the canonical 53.3% contribution margin on a BRL 350K ticket at 2.5% commission. The residual above media and RM compensation must be validated in advanced diligence.</t>
        </r>
      </text>
    </comment>
    <comment ref="B50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Source: management confirmed a minimum mature target of 20 sales per RM per month and a four-month ramp.</t>
        </r>
      </text>
    </comment>
    <comment ref="B58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Source: management target minimum cash balance of BRL 150,000.</t>
        </r>
      </text>
    </comment>
  </commentList>
</comments>
</file>

<file path=xl/sharedStrings.xml><?xml version="1.0" encoding="utf-8"?>
<sst xmlns="http://schemas.openxmlformats.org/spreadsheetml/2006/main" count="1023" uniqueCount="667">
  <si>
    <t xml:space="preserve">GLEMO - Investment Dashboard - Web2 Seed</t>
  </si>
  <si>
    <t xml:space="preserve">Management case. See Investor Summary, Institutional Cash Flow, Scenario Stress and Checks before circulation.</t>
  </si>
  <si>
    <t xml:space="preserve">RAISE &amp; STRUCTURE</t>
  </si>
  <si>
    <t xml:space="preserve">Seed round</t>
  </si>
  <si>
    <t xml:space="preserve">SAFE</t>
  </si>
  <si>
    <t xml:space="preserve">Valuation cap</t>
  </si>
  <si>
    <t xml:space="preserve">Selected cap: USD 6M</t>
  </si>
  <si>
    <t xml:space="preserve">Discount</t>
  </si>
  <si>
    <t xml:space="preserve">On Series A</t>
  </si>
  <si>
    <t xml:space="preserve">BASE CASE (24 MONTHS)</t>
  </si>
  <si>
    <t xml:space="preserve">Year 1 revenue</t>
  </si>
  <si>
    <t xml:space="preserve">Ramp year</t>
  </si>
  <si>
    <t xml:space="preserve">Year 2 revenue</t>
  </si>
  <si>
    <t xml:space="preserve">Near-peak</t>
  </si>
  <si>
    <t xml:space="preserve">24-month cumulative revenue</t>
  </si>
  <si>
    <t xml:space="preserve">Total</t>
  </si>
  <si>
    <t xml:space="preserve">Year 1 EBITDA</t>
  </si>
  <si>
    <t xml:space="preserve">24-month cumulative EBITDA</t>
  </si>
  <si>
    <t xml:space="preserve">Year 2 EBITDA margin</t>
  </si>
  <si>
    <t xml:space="preserve">Of revenue</t>
  </si>
  <si>
    <t xml:space="preserve">M24 annualized run-rate</t>
  </si>
  <si>
    <t xml:space="preserve">Exit run-rate</t>
  </si>
  <si>
    <t xml:space="preserve">Breakeven</t>
  </si>
  <si>
    <t xml:space="preserve">Month 7</t>
  </si>
  <si>
    <t xml:space="preserve">Monthly EBITDA positive</t>
  </si>
  <si>
    <t xml:space="preserve">Cumulative EBITDA &gt; seed</t>
  </si>
  <si>
    <t xml:space="preserve">Month 16</t>
  </si>
  <si>
    <t xml:space="preserve">Operating threshold</t>
  </si>
  <si>
    <t xml:space="preserve">SERIES A (PLANNED, CONDITIONAL)</t>
  </si>
  <si>
    <t xml:space="preserve">Potential Series A</t>
  </si>
  <si>
    <t xml:space="preserve">Up to USD 10M</t>
  </si>
  <si>
    <t xml:space="preserve">Month 15-18</t>
  </si>
  <si>
    <t xml:space="preserve">Indicative post-money</t>
  </si>
  <si>
    <t xml:space="preserve">USD 30-40M</t>
  </si>
  <si>
    <t xml:space="preserve">At proven traction</t>
  </si>
  <si>
    <t xml:space="preserve">Upside case</t>
  </si>
  <si>
    <t xml:space="preserve">Cross-border upside revenue; scenario uses 50 RMs to preserve a 10% capacity buffer</t>
  </si>
  <si>
    <t xml:space="preserve">LEGACY MODEL CHECKS (ARITHMETIC ONLY)</t>
  </si>
  <si>
    <t xml:space="preserve">24m revenue = sum of monthly</t>
  </si>
  <si>
    <t xml:space="preserve">EBITDA = contribution - overhead</t>
  </si>
  <si>
    <t xml:space="preserve">Legacy cash proxy &gt;= 0</t>
  </si>
  <si>
    <t xml:space="preserve">Excludes working capital, capex and transaction costs</t>
  </si>
  <si>
    <t xml:space="preserve">M7 units anchor = 49</t>
  </si>
  <si>
    <t xml:space="preserve">M24 units anchor = 490</t>
  </si>
  <si>
    <t xml:space="preserve">Use of funds = 100%</t>
  </si>
  <si>
    <t xml:space="preserve">UNDERWRITING LAYER</t>
  </si>
  <si>
    <t xml:space="preserve">Investor readiness</t>
  </si>
  <si>
    <t xml:space="preserve">Open items are explicit, not hidden</t>
  </si>
  <si>
    <t xml:space="preserve">Institutional cash trough</t>
  </si>
  <si>
    <t xml:space="preserve">Includes AR lag, capex and transaction costs</t>
  </si>
  <si>
    <t xml:space="preserve">GLEMO - Financial Model - Web2 Seed - Jul 2026 to Jun 2028</t>
  </si>
  <si>
    <t xml:space="preserve">Inputs in blue. Calculations in black. Cross-sheet links in green.</t>
  </si>
  <si>
    <t xml:space="preserve">ROUND &amp; STRUCTURE</t>
  </si>
  <si>
    <t xml:space="preserve">Round size (USD)</t>
  </si>
  <si>
    <t xml:space="preserve">SAFE seed</t>
  </si>
  <si>
    <t xml:space="preserve">Valuation cap (USD)</t>
  </si>
  <si>
    <t xml:space="preserve">Final SAFE cap selected: USD 6M</t>
  </si>
  <si>
    <t xml:space="preserve">BROKERAGE UNIT ECONOMICS</t>
  </si>
  <si>
    <t xml:space="preserve">USD/BRL rate</t>
  </si>
  <si>
    <t xml:space="preserve">Conservative FX</t>
  </si>
  <si>
    <t xml:space="preserve">Domestic avg ticket (BRL)</t>
  </si>
  <si>
    <t xml:space="preserve">Canonical MCMV base ticket selected in the June 2026 errata</t>
  </si>
  <si>
    <t xml:space="preserve">Domestic commission</t>
  </si>
  <si>
    <t xml:space="preserve">Conservative MCMV base; management indicates potential up to 3.0%</t>
  </si>
  <si>
    <t xml:space="preserve">Domestic share of units</t>
  </si>
  <si>
    <t xml:space="preserve">Base case is 100% domestic MCMV</t>
  </si>
  <si>
    <t xml:space="preserve">Cross-border ticket (BRL)</t>
  </si>
  <si>
    <t xml:space="preserve">Upside only</t>
  </si>
  <si>
    <t xml:space="preserve">Cross-border commission</t>
  </si>
  <si>
    <t xml:space="preserve">Confirmed management assumption for cross-border upside</t>
  </si>
  <si>
    <t xml:space="preserve">Cross-border share of units</t>
  </si>
  <si>
    <t xml:space="preserve">Removed from base case; retained in upside</t>
  </si>
  <si>
    <t xml:space="preserve">Brokerage contribution margin</t>
  </si>
  <si>
    <t xml:space="preserve">Formula-driven from cost-to-close inputs below</t>
  </si>
  <si>
    <t xml:space="preserve">AI AGENT (SAAS)</t>
  </si>
  <si>
    <t xml:space="preserve">Enterprise fee (BRL/mo)</t>
  </si>
  <si>
    <t xml:space="preserve">Per enterprise client</t>
  </si>
  <si>
    <t xml:space="preserve">SMB fee (BRL/mo)</t>
  </si>
  <si>
    <t xml:space="preserve">Per SMB client</t>
  </si>
  <si>
    <t xml:space="preserve">SaaS contribution margin</t>
  </si>
  <si>
    <t xml:space="preserve">After infra/support</t>
  </si>
  <si>
    <t xml:space="preserve">COSTS</t>
  </si>
  <si>
    <t xml:space="preserve">Overhead M1-M6 (USD/mo)</t>
  </si>
  <si>
    <t xml:space="preserve">Early team/infra/G&amp;A</t>
  </si>
  <si>
    <t xml:space="preserve">Overhead M7-M24 (USD/mo)</t>
  </si>
  <si>
    <t xml:space="preserve">Steady-state G&amp;A</t>
  </si>
  <si>
    <t xml:space="preserve">INSTITUTIONAL CASH, CAPACITY &amp; DILIGENCE</t>
  </si>
  <si>
    <t xml:space="preserve">Brokerage collection lag (months)</t>
  </si>
  <si>
    <t xml:space="preserve">Management assumption: commission received in 30 days</t>
  </si>
  <si>
    <t xml:space="preserve">SaaS collection lag (months)</t>
  </si>
  <si>
    <t xml:space="preserve">Replace with actual billing terms</t>
  </si>
  <si>
    <t xml:space="preserve">Transaction / legal one-off (USD)</t>
  </si>
  <si>
    <t xml:space="preserve">Fundraise and closing costs; not in legacy EBITDA</t>
  </si>
  <si>
    <t xml:space="preserve">Capex / implementation total (USD)</t>
  </si>
  <si>
    <t xml:space="preserve">Spread over first 12 months in institutional cash view</t>
  </si>
  <si>
    <t xml:space="preserve">Minimum cash buffer (USD)</t>
  </si>
  <si>
    <t xml:space="preserve">Formula: BRL 150K converted at model FX</t>
  </si>
  <si>
    <t xml:space="preserve">Mature RM productivity (units / month)</t>
  </si>
  <si>
    <t xml:space="preserve">Management target minimum confirmed at 20 units per RM per month</t>
  </si>
  <si>
    <t xml:space="preserve">Model version date</t>
  </si>
  <si>
    <t xml:space="preserve">Investor-ready audit version</t>
  </si>
  <si>
    <t xml:space="preserve">SAFE cap economic status</t>
  </si>
  <si>
    <t xml:space="preserve">Finalized</t>
  </si>
  <si>
    <t xml:space="preserve">USD 6M post-money selected; counsel to execute the legal instrument</t>
  </si>
  <si>
    <t xml:space="preserve">SAFE form</t>
  </si>
  <si>
    <t xml:space="preserve">Post-money</t>
  </si>
  <si>
    <t xml:space="preserve">Management selected post-money; counsel to implement in final instrument</t>
  </si>
  <si>
    <t xml:space="preserve">Historical actuals status</t>
  </si>
  <si>
    <t xml:space="preserve">Template ready - data gated</t>
  </si>
  <si>
    <t xml:space="preserve">Populate aggregated actuals in advanced diligence</t>
  </si>
  <si>
    <t xml:space="preserve">Evidence cut-off</t>
  </si>
  <si>
    <t xml:space="preserve">2026-06-29</t>
  </si>
  <si>
    <t xml:space="preserve">Update every month</t>
  </si>
  <si>
    <t xml:space="preserve">Cross-border treatment</t>
  </si>
  <si>
    <t xml:space="preserve">Removed from the MCMV base case</t>
  </si>
  <si>
    <t xml:space="preserve">MCMV COST-TO-CLOSE &amp; RM RAMP</t>
  </si>
  <si>
    <t xml:space="preserve">Media cost / conversion (BRL)</t>
  </si>
  <si>
    <t xml:space="preserve">Management ceiling per MCMV sale</t>
  </si>
  <si>
    <t xml:space="preserve">RM variable compensation / sale (BRL)</t>
  </si>
  <si>
    <t xml:space="preserve">Pre-fixed management assumption</t>
  </si>
  <si>
    <t xml:space="preserve">Taxes, partner repasses &amp; other costs / sale (BRL)</t>
  </si>
  <si>
    <t xml:space="preserve">Model residual required to preserve the canonical 53.3% contribution margin; validate in advanced diligence</t>
  </si>
  <si>
    <t xml:space="preserve">Total cost-to-close / sale (BRL)</t>
  </si>
  <si>
    <t xml:space="preserve">Includes media, RM compensation, taxes and partner repasses</t>
  </si>
  <si>
    <t xml:space="preserve">Gross commission / MCMV unit (BRL)</t>
  </si>
  <si>
    <t xml:space="preserve">Ticket x commission rate</t>
  </si>
  <si>
    <t xml:space="preserve">Contribution / MCMV unit (BRL)</t>
  </si>
  <si>
    <t xml:space="preserve">Before corporate fixed overhead</t>
  </si>
  <si>
    <t xml:space="preserve">MCMV contribution margin</t>
  </si>
  <si>
    <t xml:space="preserve">Contribution / gross commission</t>
  </si>
  <si>
    <t xml:space="preserve">Mature productivity (units / RM / month)</t>
  </si>
  <si>
    <t xml:space="preserve">Management-confirmed minimum target</t>
  </si>
  <si>
    <t xml:space="preserve">Ramp productivity - month 1</t>
  </si>
  <si>
    <t xml:space="preserve">Four-month ramp confirmed; cohort evidence deferred</t>
  </si>
  <si>
    <t xml:space="preserve">Ramp productivity - month 2</t>
  </si>
  <si>
    <t xml:space="preserve">Ramp productivity - month 3</t>
  </si>
  <si>
    <t xml:space="preserve">Ramp productivity - month 4+</t>
  </si>
  <si>
    <t xml:space="preserve">Cross-border cost-to-close (BRL)</t>
  </si>
  <si>
    <t xml:space="preserve">Management assumption</t>
  </si>
  <si>
    <t xml:space="preserve">Cross-border contribution / unit (BRL)</t>
  </si>
  <si>
    <t xml:space="preserve">Uses 3% commission assumption</t>
  </si>
  <si>
    <t xml:space="preserve">Minimum cash buffer (BRL)</t>
  </si>
  <si>
    <t xml:space="preserve">Management target</t>
  </si>
  <si>
    <t xml:space="preserve">MCMV commission upside sensitivity</t>
  </si>
  <si>
    <t xml:space="preserve">Commercial potential; not included in base case</t>
  </si>
  <si>
    <t xml:space="preserve">Gross commission / unit at 3% (BRL)</t>
  </si>
  <si>
    <t xml:space="preserve">Sensitivity only</t>
  </si>
  <si>
    <t xml:space="preserve">Contribution / unit at 3% (BRL)</t>
  </si>
  <si>
    <t xml:space="preserve">Assumes the same BRL 4.08K modeled cost-to-close</t>
  </si>
  <si>
    <t xml:space="preserve">GLEMO - Monthly P&amp;L (USD)</t>
  </si>
  <si>
    <t xml:space="preserve">Line / Month</t>
  </si>
  <si>
    <t xml:space="preserve">Jul-26</t>
  </si>
  <si>
    <t xml:space="preserve">Aug-26</t>
  </si>
  <si>
    <t xml:space="preserve">Sep-26</t>
  </si>
  <si>
    <t xml:space="preserve">Oct-26</t>
  </si>
  <si>
    <t xml:space="preserve">Nov-26</t>
  </si>
  <si>
    <t xml:space="preserve">Dec-26</t>
  </si>
  <si>
    <t xml:space="preserve">Jan-27</t>
  </si>
  <si>
    <t xml:space="preserve">Feb-27</t>
  </si>
  <si>
    <t xml:space="preserve">Mar-27</t>
  </si>
  <si>
    <t xml:space="preserve">Apr-27</t>
  </si>
  <si>
    <t xml:space="preserve">May-27</t>
  </si>
  <si>
    <t xml:space="preserve">Jun-27</t>
  </si>
  <si>
    <t xml:space="preserve">Jul-27</t>
  </si>
  <si>
    <t xml:space="preserve">Aug-27</t>
  </si>
  <si>
    <t xml:space="preserve">Sep-27</t>
  </si>
  <si>
    <t xml:space="preserve">Oct-27</t>
  </si>
  <si>
    <t xml:space="preserve">Nov-27</t>
  </si>
  <si>
    <t xml:space="preserve">Dec-27</t>
  </si>
  <si>
    <t xml:space="preserve">Jan-28</t>
  </si>
  <si>
    <t xml:space="preserve">Feb-28</t>
  </si>
  <si>
    <t xml:space="preserve">Mar-28</t>
  </si>
  <si>
    <t xml:space="preserve">Apr-28</t>
  </si>
  <si>
    <t xml:space="preserve">May-28</t>
  </si>
  <si>
    <t xml:space="preserve">Jun-28</t>
  </si>
  <si>
    <t xml:space="preserve">Y1</t>
  </si>
  <si>
    <t xml:space="preserve">Y2</t>
  </si>
  <si>
    <t xml:space="preserve">24m</t>
  </si>
  <si>
    <t xml:space="preserve">RMs (plan, period-end)</t>
  </si>
  <si>
    <t xml:space="preserve">Units sold (plan)</t>
  </si>
  <si>
    <t xml:space="preserve">Average active enterprise clients</t>
  </si>
  <si>
    <t xml:space="preserve">Average active SMB clients</t>
  </si>
  <si>
    <t xml:space="preserve">Brokerage revenue</t>
  </si>
  <si>
    <t xml:space="preserve">SaaS revenue</t>
  </si>
  <si>
    <t xml:space="preserve">Total revenue</t>
  </si>
  <si>
    <t xml:space="preserve">Brokerage contribution</t>
  </si>
  <si>
    <t xml:space="preserve">SaaS contribution</t>
  </si>
  <si>
    <t xml:space="preserve">Total contribution</t>
  </si>
  <si>
    <t xml:space="preserve">Corporate overhead</t>
  </si>
  <si>
    <t xml:space="preserve">EBITDA</t>
  </si>
  <si>
    <t xml:space="preserve">Cumulative EBITDA</t>
  </si>
  <si>
    <t xml:space="preserve">Note: MCMV-only base case. Units are derived from monthly media budget, capped by ramp-adjusted RM capacity. Cross-border is modeled only in upside.</t>
  </si>
  <si>
    <t xml:space="preserve">GLEMO - Revenue to EBITDA Bridge (24 months, USD)</t>
  </si>
  <si>
    <t xml:space="preserve">Step</t>
  </si>
  <si>
    <t xml:space="preserve">Amount</t>
  </si>
  <si>
    <t xml:space="preserve">less: brokerage variable cost</t>
  </si>
  <si>
    <t xml:space="preserve">less: SaaS variable cost</t>
  </si>
  <si>
    <t xml:space="preserve">less: corporate overhead</t>
  </si>
  <si>
    <t xml:space="preserve">EBITDA (24m)</t>
  </si>
  <si>
    <t xml:space="preserve">YEAR-OVER-YEAR REVENUE</t>
  </si>
  <si>
    <t xml:space="preserve">Year 2 growth</t>
  </si>
  <si>
    <t xml:space="preserve">GLEMO - Scenarios (24-month, USD)</t>
  </si>
  <si>
    <t xml:space="preserve">Legacy scenario view retained for reference. The authoritative investor scenarios are in 'Scenario Stress' and use a MCMV-only base plus cross-border upside.</t>
  </si>
  <si>
    <t xml:space="preserve">Driver / Output</t>
  </si>
  <si>
    <t xml:space="preserve">Downside</t>
  </si>
  <si>
    <t xml:space="preserve">Base</t>
  </si>
  <si>
    <t xml:space="preserve">Upside</t>
  </si>
  <si>
    <t xml:space="preserve">Units multiplier vs base</t>
  </si>
  <si>
    <t xml:space="preserve">Overhead (24m total, USD)</t>
  </si>
  <si>
    <t xml:space="preserve">EBITDA margin</t>
  </si>
  <si>
    <t xml:space="preserve">Upside reaches ~USD 23.0M revenue (deck 900 units/mo case). EBITDA here (~USD 7.3M, 32%) is more conservative than the deck's ~USD 8.3M, which assumes further operating leverage.</t>
  </si>
  <si>
    <t xml:space="preserve">GLEMO - Legacy Indicative Cash Proxy (USD)</t>
  </si>
  <si>
    <t xml:space="preserve">Legacy view = seed + cumulative EBITDA. It excludes working capital, capex, fundraise costs, debt service and tax timing; do not use as runway.</t>
  </si>
  <si>
    <t xml:space="preserve">Month</t>
  </si>
  <si>
    <t xml:space="preserve">Monthly EBITDA</t>
  </si>
  <si>
    <t xml:space="preserve">Cash balance (raise + cum.)</t>
  </si>
  <si>
    <t xml:space="preserve">Minimum cash balance</t>
  </si>
  <si>
    <t xml:space="preserve">Interpretation: arithmetic proxy only. The institutional cash view is in 'Cash Flow (WC)'.</t>
  </si>
  <si>
    <t xml:space="preserve">GLEMO - Use of the USD 1M Seed</t>
  </si>
  <si>
    <t xml:space="preserve">Category</t>
  </si>
  <si>
    <t xml:space="preserve">% of round</t>
  </si>
  <si>
    <t xml:space="preserve">Amount (USD)</t>
  </si>
  <si>
    <t xml:space="preserve">Team</t>
  </si>
  <si>
    <t xml:space="preserve">Sales &amp; Marketing (B2B/B2C)</t>
  </si>
  <si>
    <t xml:space="preserve">Infrastructure &amp; Software</t>
  </si>
  <si>
    <t xml:space="preserve">Digital &amp; Institutional Marketing</t>
  </si>
  <si>
    <t xml:space="preserve">Events &amp; Cash Buffer</t>
  </si>
  <si>
    <t xml:space="preserve">TOTAL</t>
  </si>
  <si>
    <t xml:space="preserve">RECONCILIATION TO THE P&amp;L (avoids double-counting)</t>
  </si>
  <si>
    <t xml:space="preserve">- The USD 1M is the deployment of EXTERNAL capital over 24 months - not an additional cost line on top of the P&amp;L.</t>
  </si>
  <si>
    <t xml:space="preserve">- Team (40%) funds the corporate overhead (Assumptions) during the ramp; it is the same spend, viewed as financing.</t>
  </si>
  <si>
    <t xml:space="preserve">- Sales &amp; Marketing (45%) funds the commercial acquisition embedded in the brokerage contribution margin (media/RM).</t>
  </si>
  <si>
    <t xml:space="preserve">- Pre-breakeven (M1-M7) the raise covers the operating trough; post-breakeven (M8+) revenue increasingly self-funds.</t>
  </si>
  <si>
    <t xml:space="preserve">- See Cash Flow tab: minimum cash balance stays positive, confirming the raise sizes the gap without double-counting.</t>
  </si>
  <si>
    <t xml:space="preserve">MEDIA REINVESTMENT BRIDGE</t>
  </si>
  <si>
    <t xml:space="preserve">24m media plan</t>
  </si>
  <si>
    <t xml:space="preserve">BRL</t>
  </si>
  <si>
    <t xml:space="preserve">USD at model FX</t>
  </si>
  <si>
    <t xml:space="preserve">Interpretation</t>
  </si>
  <si>
    <t xml:space="preserve">Seed funds the early ramp; later media is reinvested from operating contribution.</t>
  </si>
  <si>
    <t xml:space="preserve">GLEMO - Roadmap KPIs (base case)</t>
  </si>
  <si>
    <t xml:space="preserve">Checkpoint</t>
  </si>
  <si>
    <t xml:space="preserve">RMs</t>
  </si>
  <si>
    <t xml:space="preserve">Units/month</t>
  </si>
  <si>
    <t xml:space="preserve">Primary proof</t>
  </si>
  <si>
    <t xml:space="preserve">M1</t>
  </si>
  <si>
    <t xml:space="preserve">Seed closed; KPI baseline</t>
  </si>
  <si>
    <t xml:space="preserve">M6</t>
  </si>
  <si>
    <t xml:space="preserve">Commercial ramp; AI proof pack</t>
  </si>
  <si>
    <t xml:space="preserve">M7</t>
  </si>
  <si>
    <t xml:space="preserve">Monthly EBITDA breakeven</t>
  </si>
  <si>
    <t xml:space="preserve">M12</t>
  </si>
  <si>
    <t xml:space="preserve">USD 1.62M Year 1 revenue - canonical MCMV base</t>
  </si>
  <si>
    <t xml:space="preserve">M16</t>
  </si>
  <si>
    <t xml:space="preserve">Cumulative EBITDA exceeds seed</t>
  </si>
  <si>
    <t xml:space="preserve">M18</t>
  </si>
  <si>
    <t xml:space="preserve">~USD 9.41M run-rate; Series A readiness gate</t>
  </si>
  <si>
    <t xml:space="preserve">M24</t>
  </si>
  <si>
    <t xml:space="preserve">~USD 10.70M run-rate; 640/month mature RM capacity</t>
  </si>
  <si>
    <t xml:space="preserve">GLEMO - Anonymized Fully Diluted Cap Table (Input Template)</t>
  </si>
  <si>
    <t xml:space="preserve">Enter verified aggregate percentages only. Names and source documents remain gated to advanced diligence under NDA.</t>
  </si>
  <si>
    <t xml:space="preserve">Holder / Pool (anonymized)</t>
  </si>
  <si>
    <t xml:space="preserve">Shares / Units</t>
  </si>
  <si>
    <t xml:space="preserve">Ownership %</t>
  </si>
  <si>
    <t xml:space="preserve">Status / Notes</t>
  </si>
  <si>
    <t xml:space="preserve">Founder group</t>
  </si>
  <si>
    <t xml:space="preserve">Required</t>
  </si>
  <si>
    <t xml:space="preserve">Employees / issued options</t>
  </si>
  <si>
    <t xml:space="preserve">Unallocated option pool</t>
  </si>
  <si>
    <t xml:space="preserve">Advisors / consultants</t>
  </si>
  <si>
    <t xml:space="preserve">Existing SAFEs / convertibles</t>
  </si>
  <si>
    <t xml:space="preserve">Seed SAFE - this round</t>
  </si>
  <si>
    <t xml:space="preserve">Illustrative post-money conversion</t>
  </si>
  <si>
    <t xml:space="preserve">TOTAL ILLUSTRATIVE</t>
  </si>
  <si>
    <t xml:space="preserve">Must reconcile after verified inputs</t>
  </si>
  <si>
    <t xml:space="preserve">GLEMO - MCMV Media, RM Ramp and Capacity Drivers</t>
  </si>
  <si>
    <t xml:space="preserve">The model does not require a universal lead-conversion rate. Units are funded by media cost per conversion and capped by productive RM capacity. Blue cells are management inputs.</t>
  </si>
  <si>
    <t xml:space="preserve">Active RMs (period-end)</t>
  </si>
  <si>
    <t xml:space="preserve">New RMs hired</t>
  </si>
  <si>
    <t xml:space="preserve">Ramp cohort - month 1 equivalent RMs</t>
  </si>
  <si>
    <t xml:space="preserve">Ramp cohort - month 2 equivalent RMs</t>
  </si>
  <si>
    <t xml:space="preserve">Ramp cohort - month 3 equivalent RMs</t>
  </si>
  <si>
    <t xml:space="preserve">Mature equivalent RMs</t>
  </si>
  <si>
    <t xml:space="preserve">Total productive equivalent RMs</t>
  </si>
  <si>
    <t xml:space="preserve">Mature productivity / RM</t>
  </si>
  <si>
    <t xml:space="preserve">RM sales capacity</t>
  </si>
  <si>
    <t xml:space="preserve">Media budget (BRL) - management plan</t>
  </si>
  <si>
    <t xml:space="preserve">Media-funded conversions</t>
  </si>
  <si>
    <t xml:space="preserve">Units sold (lower of media plan and capacity)</t>
  </si>
  <si>
    <t xml:space="preserve">Units / active RM</t>
  </si>
  <si>
    <t xml:space="preserve">Capacity utilization</t>
  </si>
  <si>
    <t xml:space="preserve">Monthly unit growth</t>
  </si>
  <si>
    <t xml:space="preserve">Average enterprise clients</t>
  </si>
  <si>
    <t xml:space="preserve">Average SMB clients</t>
  </si>
  <si>
    <t xml:space="preserve">SaaS MRR (USD)</t>
  </si>
  <si>
    <t xml:space="preserve">Investor interpretation: media budget determines demand; RM ramp determines delivery capacity. The base reaches 490 M24 units with 32 active RMs, 20-unit mature productivity and a confirmed four-month ramp. Cohort evidence is deferred to advanced diligence.</t>
  </si>
  <si>
    <t xml:space="preserve">GLEMO - Institutional Cash Flow with Working Capital (USD)</t>
  </si>
  <si>
    <t xml:space="preserve">Cash conversion includes a 30-day brokerage receipt assumption, SaaS lag, fundraise costs and capex. MCMV variable cost composition remains management-reported until advanced diligence.</t>
  </si>
  <si>
    <t xml:space="preserve">Opening cash</t>
  </si>
  <si>
    <t xml:space="preserve">Seed proceeds</t>
  </si>
  <si>
    <t xml:space="preserve">Brokerage revenue recognized</t>
  </si>
  <si>
    <t xml:space="preserve">Brokerage cash collected</t>
  </si>
  <si>
    <t xml:space="preserve">Increase in brokerage receivables</t>
  </si>
  <si>
    <t xml:space="preserve">SaaS revenue recognized</t>
  </si>
  <si>
    <t xml:space="preserve">SaaS cash collected</t>
  </si>
  <si>
    <t xml:space="preserve">Increase in SaaS receivables</t>
  </si>
  <si>
    <t xml:space="preserve">Transaction / legal costs</t>
  </si>
  <si>
    <t xml:space="preserve">Capex / implementation</t>
  </si>
  <si>
    <t xml:space="preserve">Net cash movement</t>
  </si>
  <si>
    <t xml:space="preserve">Closing cash</t>
  </si>
  <si>
    <t xml:space="preserve">Minimum cash buffer</t>
  </si>
  <si>
    <t xml:space="preserve">Liquidity headroom</t>
  </si>
  <si>
    <t xml:space="preserve">Status</t>
  </si>
  <si>
    <t xml:space="preserve">KEY CASH OUTPUT</t>
  </si>
  <si>
    <t xml:space="preserve">Value</t>
  </si>
  <si>
    <t xml:space="preserve">Minimum closing cash</t>
  </si>
  <si>
    <t xml:space="preserve">Ending cash (before collection of final AR)</t>
  </si>
  <si>
    <t xml:space="preserve">Peak receivables carried</t>
  </si>
  <si>
    <t xml:space="preserve">Incremental funding to preserve buffer</t>
  </si>
  <si>
    <t xml:space="preserve">GLEMO - Legacy Scenario View (Superseded)</t>
  </si>
  <si>
    <t xml:space="preserve">Scenarios recalculate revenue, contribution, EBITDA, receivables and cash. The stress case is intentionally decision-useful; it is not a cosmetic haircut to the base case.</t>
  </si>
  <si>
    <t xml:space="preserve">Driver</t>
  </si>
  <si>
    <t xml:space="preserve">Stress</t>
  </si>
  <si>
    <t xml:space="preserve">Mgmt Revenue Upside</t>
  </si>
  <si>
    <t xml:space="preserve">Brokerage units multiplier</t>
  </si>
  <si>
    <t xml:space="preserve">SaaS client multiplier</t>
  </si>
  <si>
    <t xml:space="preserve">Overhead multiplier</t>
  </si>
  <si>
    <t xml:space="preserve">Output</t>
  </si>
  <si>
    <t xml:space="preserve">24m revenue</t>
  </si>
  <si>
    <t xml:space="preserve">24m contribution</t>
  </si>
  <si>
    <t xml:space="preserve">24m overhead</t>
  </si>
  <si>
    <t xml:space="preserve">24m EBITDA</t>
  </si>
  <si>
    <t xml:space="preserve">M24 units</t>
  </si>
  <si>
    <t xml:space="preserve">M24 units / RM</t>
  </si>
  <si>
    <t xml:space="preserve">M24 capacity utilization</t>
  </si>
  <si>
    <t xml:space="preserve">Minimum cash</t>
  </si>
  <si>
    <t xml:space="preserve">Ending cash</t>
  </si>
  <si>
    <t xml:space="preserve">First EBITDA-positive month</t>
  </si>
  <si>
    <t xml:space="preserve">Liquidity status</t>
  </si>
  <si>
    <t xml:space="preserve">STRESS - MONTHLY ENGINE</t>
  </si>
  <si>
    <t xml:space="preserve">Increase in brokerage AR</t>
  </si>
  <si>
    <t xml:space="preserve">Increase in SaaS AR</t>
  </si>
  <si>
    <t xml:space="preserve">Breakeven candidate</t>
  </si>
  <si>
    <t xml:space="preserve">DOWNSIDE - MONTHLY ENGINE</t>
  </si>
  <si>
    <t xml:space="preserve">BASE - MONTHLY ENGINE</t>
  </si>
  <si>
    <t xml:space="preserve">MANAGEMENT UPSIDE - MONTHLY ENGINE</t>
  </si>
  <si>
    <t xml:space="preserve">GLEMO - MCMV Base, Downside and Cross-border Upside</t>
  </si>
  <si>
    <t xml:space="preserve">Revenue and contribution are calculated per unit. Stress includes a pre-approved overhead contingency action; cross-border appears only in upside. The canonical upside holds corporate overhead at the base plan and assumes an 88% SaaS contribution margin; both assumptions require validation before they are treated as guidance.</t>
  </si>
  <si>
    <t xml:space="preserve">CB Upside</t>
  </si>
  <si>
    <t xml:space="preserve">Unit multiplier vs MCMV base</t>
  </si>
  <si>
    <t xml:space="preserve">Cross-border unit share</t>
  </si>
  <si>
    <t xml:space="preserve">Media cost / conversion multiplier</t>
  </si>
  <si>
    <t xml:space="preserve">Net overhead multiplier after contingency actions</t>
  </si>
  <si>
    <t xml:space="preserve">M24 RMs</t>
  </si>
  <si>
    <t xml:space="preserve">24m units</t>
  </si>
  <si>
    <t xml:space="preserve">24m brokerage revenue</t>
  </si>
  <si>
    <t xml:space="preserve">24m SaaS revenue</t>
  </si>
  <si>
    <t xml:space="preserve">24m total revenue</t>
  </si>
  <si>
    <t xml:space="preserve">24m total contribution</t>
  </si>
  <si>
    <t xml:space="preserve">Liquidity / capacity status</t>
  </si>
  <si>
    <t xml:space="preserve">CROSS-BORDER UPSIDE - MONTHLY ENGINE</t>
  </si>
  <si>
    <t xml:space="preserve">GLEMO - SAFE Dilution Illustration (Not a Return Forecast)</t>
  </si>
  <si>
    <t xml:space="preserve">Management selected a USD 6M post-money SAFE. USD 5M columns are retained only as sensitivity. Exact ownership still depends on the verified cap table, option pool, other convertibles and pro-rata rights.</t>
  </si>
  <si>
    <t xml:space="preserve">Item</t>
  </si>
  <si>
    <t xml:space="preserve">USD 5M cap / A at 30M</t>
  </si>
  <si>
    <t xml:space="preserve">USD 5M cap / A at 40M</t>
  </si>
  <si>
    <t xml:space="preserve">USD 6M cap / A at 30M</t>
  </si>
  <si>
    <t xml:space="preserve">USD 6M cap / A at 40M</t>
  </si>
  <si>
    <t xml:space="preserve">Seed investment</t>
  </si>
  <si>
    <t xml:space="preserve">Illustrative post-money SAFE cap</t>
  </si>
  <si>
    <t xml:space="preserve">Pre-Series-A SAFE ownership</t>
  </si>
  <si>
    <t xml:space="preserve">Series A new money</t>
  </si>
  <si>
    <t xml:space="preserve">Series A post-money valuation</t>
  </si>
  <si>
    <t xml:space="preserve">Dilution from Series A</t>
  </si>
  <si>
    <t xml:space="preserve">Illustrative ownership after Series A</t>
  </si>
  <si>
    <t xml:space="preserve">Illustrative paper value at Series A</t>
  </si>
  <si>
    <t xml:space="preserve">Terms still required before circulation</t>
  </si>
  <si>
    <t xml:space="preserve">1</t>
  </si>
  <si>
    <t xml:space="preserve">Post-money selected; counsel must execute the final legal instrument</t>
  </si>
  <si>
    <t xml:space="preserve">2</t>
  </si>
  <si>
    <t xml:space="preserve">Disclose all SAFEs, advisory equity, option pool and pro-rata rights</t>
  </si>
  <si>
    <t xml:space="preserve">3</t>
  </si>
  <si>
    <t xml:space="preserve">Align every external document to the selected USD 6M cap</t>
  </si>
  <si>
    <t xml:space="preserve">GLEMO - Aggregated Historical Actuals (Anonymized Template)</t>
  </si>
  <si>
    <t xml:space="preserve">No client or transaction identifiers are required. Populate aggregate monthly values and mark Validated only after reconciliation to supporting records under NDA.</t>
  </si>
  <si>
    <t xml:space="preserve">Period</t>
  </si>
  <si>
    <t xml:space="preserve">Revenue (USD)</t>
  </si>
  <si>
    <t xml:space="preserve">Contribution (USD)</t>
  </si>
  <si>
    <t xml:space="preserve">Overhead (USD)</t>
  </si>
  <si>
    <t xml:space="preserve">EBITDA (USD)</t>
  </si>
  <si>
    <t xml:space="preserve">Cash receipts (USD)</t>
  </si>
  <si>
    <t xml:space="preserve">Closing cash (USD)</t>
  </si>
  <si>
    <t xml:space="preserve">Period 01</t>
  </si>
  <si>
    <t xml:space="preserve">Pending</t>
  </si>
  <si>
    <t xml:space="preserve">Period 02</t>
  </si>
  <si>
    <t xml:space="preserve">Period 03</t>
  </si>
  <si>
    <t xml:space="preserve">Period 04</t>
  </si>
  <si>
    <t xml:space="preserve">Period 05</t>
  </si>
  <si>
    <t xml:space="preserve">Period 06</t>
  </si>
  <si>
    <t xml:space="preserve">Period 07</t>
  </si>
  <si>
    <t xml:space="preserve">Period 08</t>
  </si>
  <si>
    <t xml:space="preserve">Period 09</t>
  </si>
  <si>
    <t xml:space="preserve">Period 10</t>
  </si>
  <si>
    <t xml:space="preserve">Period 11</t>
  </si>
  <si>
    <t xml:space="preserve">Period 12</t>
  </si>
  <si>
    <t xml:space="preserve">Period 13</t>
  </si>
  <si>
    <t xml:space="preserve">Period 14</t>
  </si>
  <si>
    <t xml:space="preserve">Period 15</t>
  </si>
  <si>
    <t xml:space="preserve">Period 16</t>
  </si>
  <si>
    <t xml:space="preserve">Period 17</t>
  </si>
  <si>
    <t xml:space="preserve">Period 18</t>
  </si>
  <si>
    <t xml:space="preserve">Period 19</t>
  </si>
  <si>
    <t xml:space="preserve">Period 20</t>
  </si>
  <si>
    <t xml:space="preserve">Period 21</t>
  </si>
  <si>
    <t xml:space="preserve">Period 22</t>
  </si>
  <si>
    <t xml:space="preserve">Period 23</t>
  </si>
  <si>
    <t xml:space="preserve">Period 24</t>
  </si>
  <si>
    <t xml:space="preserve">GLEMO - RM Cohorts and Upside Hiring Evidence (Anonymized Template)</t>
  </si>
  <si>
    <t xml:space="preserve">Use anonymous cohort IDs. The benchmark reflects the confirmed four-month ramp and 20-unit mature target; actual cohorts remain gated to advanced diligence.</t>
  </si>
  <si>
    <t xml:space="preserve">Cohort ID</t>
  </si>
  <si>
    <t xml:space="preserve">Start period</t>
  </si>
  <si>
    <t xml:space="preserve">RM count</t>
  </si>
  <si>
    <t xml:space="preserve">M1 units/RM</t>
  </si>
  <si>
    <t xml:space="preserve">M2 units/RM</t>
  </si>
  <si>
    <t xml:space="preserve">M3 units/RM</t>
  </si>
  <si>
    <t xml:space="preserve">M4+ units/RM</t>
  </si>
  <si>
    <t xml:space="preserve">Mature 3m avg</t>
  </si>
  <si>
    <t xml:space="preserve">Evidence note</t>
  </si>
  <si>
    <t xml:space="preserve">TARGET BENCHMARK</t>
  </si>
  <si>
    <t xml:space="preserve">Upside plan</t>
  </si>
  <si>
    <t xml:space="preserve">50 RMs support 900 units at 90% utilization</t>
  </si>
  <si>
    <t xml:space="preserve">Reference only</t>
  </si>
  <si>
    <t xml:space="preserve">Cohort 01</t>
  </si>
  <si>
    <t xml:space="preserve">Cohort 02</t>
  </si>
  <si>
    <t xml:space="preserve">Cohort 03</t>
  </si>
  <si>
    <t xml:space="preserve">Cohort 04</t>
  </si>
  <si>
    <t xml:space="preserve">Cohort 05</t>
  </si>
  <si>
    <t xml:space="preserve">Cohort 06</t>
  </si>
  <si>
    <t xml:space="preserve">Cohort 07</t>
  </si>
  <si>
    <t xml:space="preserve">Cohort 08</t>
  </si>
  <si>
    <t xml:space="preserve">Cohort 09</t>
  </si>
  <si>
    <t xml:space="preserve">Cohort 10</t>
  </si>
  <si>
    <t xml:space="preserve">Cohort 11</t>
  </si>
  <si>
    <t xml:space="preserve">Cohort 12</t>
  </si>
  <si>
    <t xml:space="preserve">Cohort 13</t>
  </si>
  <si>
    <t xml:space="preserve">Cohort 14</t>
  </si>
  <si>
    <t xml:space="preserve">Cohort 15</t>
  </si>
  <si>
    <t xml:space="preserve">GLEMO - Sources, Evidence and Diligence Register</t>
  </si>
  <si>
    <t xml:space="preserve">A highlighted claim is not investor-grade until its source can be opened and reconciled in under five minutes. 'Reported' means management-provided and still requires documentary evidence.</t>
  </si>
  <si>
    <t xml:space="preserve">ID</t>
  </si>
  <si>
    <t xml:space="preserve">Claim</t>
  </si>
  <si>
    <t xml:space="preserve">Type</t>
  </si>
  <si>
    <t xml:space="preserve">Figure</t>
  </si>
  <si>
    <t xml:space="preserve">Period / As-of</t>
  </si>
  <si>
    <t xml:space="preserve">Evidence required</t>
  </si>
  <si>
    <t xml:space="preserve">Owner</t>
  </si>
  <si>
    <t xml:space="preserve">Source / Folder</t>
  </si>
  <si>
    <t xml:space="preserve">E-01</t>
  </si>
  <si>
    <t xml:space="preserve">MCMV share of national residential sales</t>
  </si>
  <si>
    <t xml:space="preserve">Market</t>
  </si>
  <si>
    <t xml:space="preserve">Verified - external</t>
  </si>
  <si>
    <t xml:space="preserve">49%; 54,510 units</t>
  </si>
  <si>
    <t xml:space="preserve">1Q 2026</t>
  </si>
  <si>
    <t xml:space="preserve">CBIC study</t>
  </si>
  <si>
    <t xml:space="preserve">Finance</t>
  </si>
  <si>
    <t xml:space="preserve">https://cbic.org.br/minha-casa-minha-vida-foi-responsavel-por-quase-metade-das-vendas-de-imoveis-no-primeiro-trimestre/</t>
  </si>
  <si>
    <t xml:space="preserve">E-02</t>
  </si>
  <si>
    <t xml:space="preserve">Founder-led cadence</t>
  </si>
  <si>
    <t xml:space="preserve">Traction</t>
  </si>
  <si>
    <t xml:space="preserve">Reported - evidence pending</t>
  </si>
  <si>
    <t xml:space="preserve">20-40 sales</t>
  </si>
  <si>
    <t xml:space="preserve">Period not defined</t>
  </si>
  <si>
    <t xml:space="preserve">CRM export by month; closed-contract sample; commission reconciliation</t>
  </si>
  <si>
    <t xml:space="preserve">CEO / Sales</t>
  </si>
  <si>
    <t xml:space="preserve">Data room / 02_Commercial</t>
  </si>
  <si>
    <t xml:space="preserve">E-03</t>
  </si>
  <si>
    <t xml:space="preserve">Tier 1 inventory access</t>
  </si>
  <si>
    <t xml:space="preserve">Commercial</t>
  </si>
  <si>
    <t xml:space="preserve">~8,000 units/year</t>
  </si>
  <si>
    <t xml:space="preserve">Current</t>
  </si>
  <si>
    <t xml:space="preserve">Executed contracts; term; territory; availability; commission; termination rights</t>
  </si>
  <si>
    <t xml:space="preserve">CEO / Legal</t>
  </si>
  <si>
    <t xml:space="preserve">Data room / 03_Contracts</t>
  </si>
  <si>
    <t xml:space="preserve">E-04</t>
  </si>
  <si>
    <t xml:space="preserve">Cumulative GMV</t>
  </si>
  <si>
    <t xml:space="preserve">USD 6M+</t>
  </si>
  <si>
    <t xml:space="preserve">Since inception</t>
  </si>
  <si>
    <t xml:space="preserve">Transaction ledger tied to CRM, contracts, invoices and bank receipts</t>
  </si>
  <si>
    <t xml:space="preserve">Data room / 04_Transactions</t>
  </si>
  <si>
    <t xml:space="preserve">E-05</t>
  </si>
  <si>
    <t xml:space="preserve">AI Agent interactions</t>
  </si>
  <si>
    <t xml:space="preserve">Product</t>
  </si>
  <si>
    <t xml:space="preserve">30,000/day</t>
  </si>
  <si>
    <t xml:space="preserve">Latest 30-90 days</t>
  </si>
  <si>
    <t xml:space="preserve">Raw usage export; unique users; channels; spam/bot exclusion; uptime</t>
  </si>
  <si>
    <t xml:space="preserve">Data room / 05_Product</t>
  </si>
  <si>
    <t xml:space="preserve">E-06</t>
  </si>
  <si>
    <t xml:space="preserve">Client annual savings</t>
  </si>
  <si>
    <t xml:space="preserve">Product ROI</t>
  </si>
  <si>
    <t xml:space="preserve">USD 400K/year</t>
  </si>
  <si>
    <t xml:space="preserve">Anchor client</t>
  </si>
  <si>
    <t xml:space="preserve">Before/after methodology and signed client validation</t>
  </si>
  <si>
    <t xml:space="preserve">Product / Finance</t>
  </si>
  <si>
    <t xml:space="preserve">E-07</t>
  </si>
  <si>
    <t xml:space="preserve">AI capacity improvement</t>
  </si>
  <si>
    <t xml:space="preserve">20x</t>
  </si>
  <si>
    <t xml:space="preserve">Anchor workflow</t>
  </si>
  <si>
    <t xml:space="preserve">Baseline definition, denominator, sample window and repeatability test</t>
  </si>
  <si>
    <t xml:space="preserve">E-08</t>
  </si>
  <si>
    <t xml:space="preserve">Partner network</t>
  </si>
  <si>
    <t xml:space="preserve">Distribution</t>
  </si>
  <si>
    <t xml:space="preserve">~100 partners</t>
  </si>
  <si>
    <t xml:space="preserve">List by country, contracted/active/pilot, revenue and last activity</t>
  </si>
  <si>
    <t xml:space="preserve">Partnerships</t>
  </si>
  <si>
    <t xml:space="preserve">Data room / 06_Partners</t>
  </si>
  <si>
    <t xml:space="preserve">E-09</t>
  </si>
  <si>
    <t xml:space="preserve">Founder cash invested</t>
  </si>
  <si>
    <t xml:space="preserve">Capitalization</t>
  </si>
  <si>
    <t xml:space="preserve">USD 1.2M+</t>
  </si>
  <si>
    <t xml:space="preserve">2021-2026</t>
  </si>
  <si>
    <t xml:space="preserve">Bank statements, capital contributions, intercompany loans and accounting ledger</t>
  </si>
  <si>
    <t xml:space="preserve">Finance / Legal</t>
  </si>
  <si>
    <t xml:space="preserve">Data room / 07_Corporate</t>
  </si>
  <si>
    <t xml:space="preserve">E-10</t>
  </si>
  <si>
    <t xml:space="preserve">AI applications live</t>
  </si>
  <si>
    <t xml:space="preserve">8 apps</t>
  </si>
  <si>
    <t xml:space="preserve">Active clients, MRR, retention, SLA, gross margin and ownership/IP</t>
  </si>
  <si>
    <t xml:space="preserve">E-11</t>
  </si>
  <si>
    <t xml:space="preserve">MCMV brokerage commission</t>
  </si>
  <si>
    <t xml:space="preserve">Unit economics</t>
  </si>
  <si>
    <t xml:space="preserve">Projected - validate with actuals</t>
  </si>
  <si>
    <t xml:space="preserve">2.5% base / up to 3.0%</t>
  </si>
  <si>
    <t xml:space="preserve">24m model</t>
  </si>
  <si>
    <t xml:space="preserve">Base remains conservative; validate contract and transaction-weighted actual take rate</t>
  </si>
  <si>
    <t xml:space="preserve">Model / Assumptions B12, B59:B61</t>
  </si>
  <si>
    <t xml:space="preserve">E-12</t>
  </si>
  <si>
    <t xml:space="preserve">53.3% per unit</t>
  </si>
  <si>
    <t xml:space="preserve">Validate BRL 8.75K gross commission less BRL 4.08K modeled cost-to-close</t>
  </si>
  <si>
    <t xml:space="preserve">Model / Assumptions B49</t>
  </si>
  <si>
    <t xml:space="preserve">E-13</t>
  </si>
  <si>
    <t xml:space="preserve">Cross-border unit mix</t>
  </si>
  <si>
    <t xml:space="preserve">Strategy</t>
  </si>
  <si>
    <t xml:space="preserve">0% base / 10% upside</t>
  </si>
  <si>
    <t xml:space="preserve">Base is MCMV only; validate the separate upside case</t>
  </si>
  <si>
    <t xml:space="preserve">CEO / Finance</t>
  </si>
  <si>
    <t xml:space="preserve">Model / Scenario Stress</t>
  </si>
  <si>
    <t xml:space="preserve">E-14</t>
  </si>
  <si>
    <t xml:space="preserve">SAFE valuation cap</t>
  </si>
  <si>
    <t xml:space="preserve">Legal</t>
  </si>
  <si>
    <t xml:space="preserve">USD 6M selected</t>
  </si>
  <si>
    <t xml:space="preserve">Current raise</t>
  </si>
  <si>
    <t xml:space="preserve">Align signed SAFE and every external document</t>
  </si>
  <si>
    <t xml:space="preserve">Data room / 01_Round</t>
  </si>
  <si>
    <t xml:space="preserve">E-15</t>
  </si>
  <si>
    <t xml:space="preserve">Cap table</t>
  </si>
  <si>
    <t xml:space="preserve">Open - missing</t>
  </si>
  <si>
    <t xml:space="preserve">Template only</t>
  </si>
  <si>
    <t xml:space="preserve">Fully diluted cap table including SAFEs, options, advisors and debt</t>
  </si>
  <si>
    <t xml:space="preserve">Legal / Finance</t>
  </si>
  <si>
    <t xml:space="preserve">E-16</t>
  </si>
  <si>
    <t xml:space="preserve">Upside capacity</t>
  </si>
  <si>
    <t xml:space="preserve">Forecast</t>
  </si>
  <si>
    <t xml:space="preserve">900 units / 50 RMs</t>
  </si>
  <si>
    <t xml:space="preserve">At 20 units/RM, 50 RMs preserve a 10% capacity buffer; validate the hiring plan</t>
  </si>
  <si>
    <t xml:space="preserve">E-17</t>
  </si>
  <si>
    <t xml:space="preserve">MCMV cost-to-close</t>
  </si>
  <si>
    <t xml:space="preserve">BRL 4.08K / sale modeled</t>
  </si>
  <si>
    <t xml:space="preserve">BRL 1K media and BRL 1.5K RM compensation are management inputs; validate the residual taxes, partner repasses and other costs</t>
  </si>
  <si>
    <t xml:space="preserve">Model / Assumptions B46</t>
  </si>
  <si>
    <t xml:space="preserve">E-18</t>
  </si>
  <si>
    <t xml:space="preserve">Brokerage collection timing</t>
  </si>
  <si>
    <t xml:space="preserve">Working capital</t>
  </si>
  <si>
    <t xml:space="preserve">30 days</t>
  </si>
  <si>
    <t xml:space="preserve">Later-stage contract and receipt sample</t>
  </si>
  <si>
    <t xml:space="preserve">Model / Assumptions B29</t>
  </si>
  <si>
    <t xml:space="preserve">E-19</t>
  </si>
  <si>
    <t xml:space="preserve">Cancellation exposure</t>
  </si>
  <si>
    <t xml:space="preserve">Developer bears cost</t>
  </si>
  <si>
    <t xml:space="preserve">Contract language confirming no clawback, replacement obligation or commission reversal</t>
  </si>
  <si>
    <t xml:space="preserve">E-20</t>
  </si>
  <si>
    <t xml:space="preserve">Mature RM productivity</t>
  </si>
  <si>
    <t xml:space="preserve">20 units / month minimum target</t>
  </si>
  <si>
    <t xml:space="preserve">Mature cohort</t>
  </si>
  <si>
    <t xml:space="preserve">Four-month ramp and target confirmed by management; cohort evidence may be deferred to advanced diligence</t>
  </si>
  <si>
    <t xml:space="preserve">Sales</t>
  </si>
  <si>
    <t xml:space="preserve">Model / Assumptions B50</t>
  </si>
  <si>
    <t xml:space="preserve">GLEMO - Model Integrity and Investor Readiness Checks</t>
  </si>
  <si>
    <t xml:space="preserve">Arithmetic checks can be OK while diligence remains open. Management assumptions are intentionally separated from advanced-stage evidence such as contracts, cohorts, cap table and historical actuals.</t>
  </si>
  <si>
    <t xml:space="preserve">OVERALL MODEL STATUS</t>
  </si>
  <si>
    <t xml:space="preserve">Check</t>
  </si>
  <si>
    <t xml:space="preserve">Actual</t>
  </si>
  <si>
    <t xml:space="preserve">Expected</t>
  </si>
  <si>
    <t xml:space="preserve">Difference</t>
  </si>
  <si>
    <t xml:space="preserve">Tolerance</t>
  </si>
  <si>
    <t xml:space="preserve">Notes / Fix</t>
  </si>
  <si>
    <t xml:space="preserve">Revenue ties across model</t>
  </si>
  <si>
    <t xml:space="preserve">P&amp;L vs Dashboard</t>
  </si>
  <si>
    <t xml:space="preserve">EBITDA ties across model</t>
  </si>
  <si>
    <t xml:space="preserve">M24 units derived from drivers</t>
  </si>
  <si>
    <t xml:space="preserve">No manual units remain in P&amp;L</t>
  </si>
  <si>
    <t xml:space="preserve">Keep a credible service/quality buffer</t>
  </si>
  <si>
    <t xml:space="preserve">Base minimum cash vs buffer</t>
  </si>
  <si>
    <t xml:space="preserve">Institutional cash flow, not legacy proxy</t>
  </si>
  <si>
    <t xml:space="preserve">Stress minimum cash</t>
  </si>
  <si>
    <t xml:space="preserve">Must not require emergency financing</t>
  </si>
  <si>
    <t xml:space="preserve">Use of funds totals 100%</t>
  </si>
  <si>
    <t xml:space="preserve">Arithmetic allocation check</t>
  </si>
  <si>
    <t xml:space="preserve">Exact SAFE cap finalized</t>
  </si>
  <si>
    <t xml:space="preserve">Choose USD 5M or USD 6M and align all documents</t>
  </si>
  <si>
    <t xml:space="preserve">SAFE economic form selected</t>
  </si>
  <si>
    <t xml:space="preserve">Post-money selected by management; legal execution remains counsel-controlled</t>
  </si>
  <si>
    <t xml:space="preserve">Fully diluted cap table complete</t>
  </si>
  <si>
    <t xml:space="preserve">Anonymized template requires five ownership categories</t>
  </si>
  <si>
    <t xml:space="preserve">Historical actuals validated</t>
  </si>
  <si>
    <t xml:space="preserve">At least one aggregated month must be loaded and validated before initial diligence</t>
  </si>
  <si>
    <t xml:space="preserve">Media budget reconciles to funded units</t>
  </si>
  <si>
    <t xml:space="preserve">Units are driven by cost per conversion, not a universal lead-conversion rate</t>
  </si>
  <si>
    <t xml:space="preserve">External market source present</t>
  </si>
  <si>
    <t xml:space="preserve">CBIC 1Q26 source captured</t>
  </si>
  <si>
    <t xml:space="preserve">Cross-border base vs upside resolved</t>
  </si>
  <si>
    <t xml:space="preserve">Base case is now 100% domestic MCMV</t>
  </si>
  <si>
    <t xml:space="preserve">Formula error scan</t>
  </si>
  <si>
    <t xml:space="preserve">0 errors found in QA</t>
  </si>
  <si>
    <t xml:space="preserve">0 errors</t>
  </si>
  <si>
    <t xml:space="preserve">OK</t>
  </si>
  <si>
    <t xml:space="preserve">Artifact-tool and cached-value scan</t>
  </si>
  <si>
    <t xml:space="preserve">Upside M24 units reconcile to 900</t>
  </si>
  <si>
    <t xml:space="preserve">The revised upside now uses an explicit 900 / 490 multiplier</t>
  </si>
  <si>
    <t xml:space="preserve">Upside RM capacity</t>
  </si>
  <si>
    <t xml:space="preserve">900 units with 50 RMs uses 90% of capacity at the 20-unit mature target</t>
  </si>
  <si>
    <t xml:space="preserve">Upside hiring and productivity evidenced</t>
  </si>
  <si>
    <t xml:space="preserve">Validate at least one anonymized cohort and the 50-RM hiring plan in advanced diligence</t>
  </si>
  <si>
    <t xml:space="preserve">GLEMO - Investor Underwriting Summary</t>
  </si>
  <si>
    <t xml:space="preserve">This page separates the management case from evidence, liquidity risk and legal completion. Attractive economics remain conditional on proving RM productivity and cash conversion.</t>
  </si>
  <si>
    <t xml:space="preserve">MODEL STATUS</t>
  </si>
  <si>
    <t xml:space="preserve">Round</t>
  </si>
  <si>
    <t xml:space="preserve">Model cap</t>
  </si>
  <si>
    <t xml:space="preserve">Legal cap status</t>
  </si>
  <si>
    <t xml:space="preserve">Base min cash (WC)</t>
  </si>
  <si>
    <t xml:space="preserve">Stress min cash</t>
  </si>
  <si>
    <t xml:space="preserve">M24 utilization</t>
  </si>
  <si>
    <t xml:space="preserve">Verified evidence items</t>
  </si>
  <si>
    <t xml:space="preserve">Open / review checks</t>
  </si>
  <si>
    <t xml:space="preserve">Scenario</t>
  </si>
  <si>
    <t xml:space="preserve">24m Revenue</t>
  </si>
  <si>
    <t xml:space="preserve">EBITDA Margin</t>
  </si>
  <si>
    <t xml:space="preserve">Minimum Cash</t>
  </si>
  <si>
    <t xml:space="preserve">M24 Units</t>
  </si>
  <si>
    <t xml:space="preserve">Cross-border Upside</t>
  </si>
  <si>
    <t xml:space="preserve">Survivability</t>
  </si>
  <si>
    <t xml:space="preserve">Management case</t>
  </si>
  <si>
    <t xml:space="preserve">Not guidance</t>
  </si>
  <si>
    <t xml:space="preserve">Includes WC</t>
  </si>
  <si>
    <t xml:space="preserve">First positive month</t>
  </si>
  <si>
    <t xml:space="preserve">Capacity evidence required</t>
  </si>
  <si>
    <t xml:space="preserve">CONDITIONS BEFORE INVESTOR CIRCULATION</t>
  </si>
  <si>
    <t xml:space="preserve">Prove the 20-40 founder-led cadence and define its period using CRM, contracts, invoices and bank receipts.</t>
  </si>
  <si>
    <t xml:space="preserve">Keep cost-to-close and RM-ramp assumptions labeled as management-reported; validate cohorts only in advanced diligence.</t>
  </si>
  <si>
    <t xml:space="preserve">Execute the selected USD 6M post-money SAFE with counsel and complete the anonymized fully diluted cap table.</t>
  </si>
  <si>
    <t xml:space="preserve">4</t>
  </si>
  <si>
    <t xml:space="preserve">Reconcile the USD 1M use of funds to a monthly hiring/spend plan and board-approved minimum cash buffer.</t>
  </si>
  <si>
    <t xml:space="preserve">5</t>
  </si>
  <si>
    <t xml:space="preserve">Validate the upside hiring plan: 50 RMs at 20 units/month preserve a 10% buffer while supporting 900 units.</t>
  </si>
  <si>
    <t xml:space="preserve">6</t>
  </si>
  <si>
    <t xml:space="preserve">Update the model monthly with actual vs budget and preserve a locked version history.</t>
  </si>
  <si>
    <t xml:space="preserve">INVESTOR FAIRNESS</t>
  </si>
  <si>
    <t xml:space="preserve">The SAFE illustration shows dilution ranges transparently. No markup, Series A or distribution is presented as guaranteed.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</si>
</sst>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  <numFmt numFmtId="170" formatCode="\$#,##0"/>
    <numFmt numFmtId="171" formatCode="0.0%"/>
    <numFmt numFmtId="172" formatCode="\$#,##0;[RED]&quot;($&quot;#,##0\);\-"/>
    <numFmt numFmtId="173" formatCode="#,##0"/>
    <numFmt numFmtId="174" formatCode="0.0"/>
    <numFmt numFmtId="175" formatCode="&quot;R$&quot;#,##0;[RED]&quot;(R$&quot;#,##0\);\-"/>
    <numFmt numFmtId="176" formatCode="0"/>
    <numFmt numFmtId="177" formatCode="yyyy\-mm\-dd"/>
    <numFmt numFmtId="178" formatCode="#,##0.0"/>
    <numFmt numFmtId="179" formatCode="\$#,##0;&quot;($&quot;#,##0\);\-"/>
    <numFmt numFmtId="180" formatCode="0.00\x"/>
    <numFmt numFmtId="181" formatCode="&quot;R$ &quot;#,##0;[RED]&quot;(R$ &quot;#,##0\);\-"/>
    <numFmt numFmtId="182" formatCode="0.0%;[RED]\(0.0%\);\-"/>
    <numFmt numFmtId="183" formatCode="0.00"/>
    <numFmt numFmtId="184" formatCode="General"/>
  </numFmts>
  <fonts count="4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14"/>
      <color rgb="FF0D1B2A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0D1B2A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1A7A4A"/>
      <name val="Arial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3"/>
      <color rgb="FF0D1B2A"/>
      <name val="Arial"/>
      <family val="0"/>
      <charset val="1"/>
    </font>
    <font>
      <sz val="10"/>
      <color rgb="FF0000FF"/>
      <name val="Arial"/>
      <family val="0"/>
      <charset val="1"/>
    </font>
    <font>
      <sz val="11"/>
      <color rgb="FF0000FF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2"/>
      <color rgb="FF0D1B2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888888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1"/>
      <color rgb="FF0D1B2A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0"/>
      <color rgb="FFC9A227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18"/>
      <color rgb="FFFFFFFF"/>
      <name val="Calibri"/>
      <family val="0"/>
      <charset val="1"/>
    </font>
    <font>
      <b val="true"/>
      <i val="true"/>
      <sz val="9"/>
      <color rgb="FF78350F"/>
      <name val="Arial"/>
      <family val="0"/>
      <charset val="1"/>
    </font>
    <font>
      <sz val="10"/>
      <color rgb="FF111827"/>
      <name val="Arial"/>
      <family val="0"/>
      <charset val="1"/>
    </font>
    <font>
      <sz val="10"/>
      <color rgb="FF111827"/>
      <name val="Calibri"/>
      <family val="0"/>
      <charset val="1"/>
    </font>
    <font>
      <sz val="10"/>
      <color rgb="FF0000FF"/>
      <name val="Calibri"/>
      <family val="0"/>
      <charset val="1"/>
    </font>
    <font>
      <b val="true"/>
      <sz val="10"/>
      <color rgb="FF111827"/>
      <name val="Calibri"/>
      <family val="0"/>
      <charset val="1"/>
    </font>
    <font>
      <i val="true"/>
      <sz val="11"/>
      <color rgb="FF64748B"/>
      <name val="Calibri"/>
      <family val="0"/>
      <charset val="1"/>
    </font>
    <font>
      <sz val="10"/>
      <color rgb="FF008000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1"/>
      <color rgb="FF78350F"/>
      <name val="Calibri"/>
      <family val="0"/>
      <charset val="1"/>
    </font>
    <font>
      <b val="true"/>
      <sz val="11"/>
      <color rgb="FF991B1B"/>
      <name val="Calibri"/>
      <family val="0"/>
      <charset val="1"/>
    </font>
    <font>
      <b val="true"/>
      <sz val="10"/>
      <color rgb="FF163A5F"/>
      <name val="Calibri"/>
      <family val="0"/>
      <charset val="1"/>
    </font>
    <font>
      <sz val="11"/>
      <color rgb="FF0B1F3A"/>
      <name val="Calibri"/>
      <family val="0"/>
      <charset val="1"/>
    </font>
    <font>
      <sz val="11"/>
      <color rgb="FF111827"/>
      <name val="Calibri"/>
      <family val="0"/>
      <charset val="1"/>
    </font>
    <font>
      <b val="true"/>
      <sz val="11"/>
      <color rgb="FF166534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3F1E7"/>
        <bgColor rgb="FFE8F0F8"/>
      </patternFill>
    </fill>
    <fill>
      <patternFill patternType="solid">
        <fgColor rgb="FF0B1F3A"/>
        <bgColor rgb="FF0D1B2A"/>
      </patternFill>
    </fill>
    <fill>
      <patternFill patternType="solid">
        <fgColor rgb="FF0D1B2A"/>
        <bgColor rgb="FF111827"/>
      </patternFill>
    </fill>
    <fill>
      <patternFill patternType="solid">
        <fgColor rgb="FFFEF3C7"/>
        <bgColor rgb="FFF3F1E7"/>
      </patternFill>
    </fill>
    <fill>
      <patternFill patternType="solid">
        <fgColor rgb="FFE8F0F8"/>
        <bgColor rgb="FFF3F1E7"/>
      </patternFill>
    </fill>
    <fill>
      <patternFill patternType="solid">
        <fgColor rgb="FFFEE2E2"/>
        <bgColor rgb="FFF3F1E7"/>
      </patternFill>
    </fill>
    <fill>
      <patternFill patternType="solid">
        <fgColor rgb="FFF8FAFC"/>
        <bgColor rgb="FFFFFFFF"/>
      </patternFill>
    </fill>
    <fill>
      <patternFill patternType="solid">
        <fgColor rgb="FFDCFCE7"/>
        <bgColor rgb="FFE8F0F8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>
        <color rgb="FF0B1F3A"/>
      </left>
      <right/>
      <top style="thin">
        <color rgb="FF0B1F3A"/>
      </top>
      <bottom style="thin">
        <color rgb="FF0B1F3A"/>
      </bottom>
      <diagonal/>
    </border>
    <border diagonalUp="false" diagonalDown="false">
      <left/>
      <right/>
      <top style="thin">
        <color rgb="FF0B1F3A"/>
      </top>
      <bottom style="thin">
        <color rgb="FF0B1F3A"/>
      </bottom>
      <diagonal/>
    </border>
    <border diagonalUp="false" diagonalDown="false">
      <left/>
      <right style="thin">
        <color rgb="FF0B1F3A"/>
      </right>
      <top style="thin">
        <color rgb="FF0B1F3A"/>
      </top>
      <bottom style="thin">
        <color rgb="FF0B1F3A"/>
      </bottom>
      <diagonal/>
    </border>
    <border diagonalUp="false" diagonalDown="false">
      <left style="thin">
        <color rgb="FFD8D2BE"/>
      </left>
      <right style="thin">
        <color rgb="FFD8D2BE"/>
      </right>
      <top style="thin">
        <color rgb="FFD8D2BE"/>
      </top>
      <bottom style="thin">
        <color rgb="FFD8D2BE"/>
      </bottom>
      <diagonal/>
    </border>
    <border diagonalUp="false" diagonalDown="false">
      <left style="thin">
        <color rgb="FF0B1F3A"/>
      </left>
      <right style="thin">
        <color rgb="FFD8D2BE"/>
      </right>
      <top style="thin">
        <color rgb="FF0B1F3A"/>
      </top>
      <bottom style="thin">
        <color rgb="FF0B1F3A"/>
      </bottom>
      <diagonal/>
    </border>
    <border diagonalUp="false" diagonalDown="false">
      <left style="thin">
        <color rgb="FFD8D2BE"/>
      </left>
      <right style="thin">
        <color rgb="FFD8D2BE"/>
      </right>
      <top style="thin">
        <color rgb="FF0B1F3A"/>
      </top>
      <bottom style="thin">
        <color rgb="FF0B1F3A"/>
      </bottom>
      <diagonal/>
    </border>
    <border diagonalUp="false" diagonalDown="false">
      <left style="thin">
        <color rgb="FFD8D2BE"/>
      </left>
      <right style="thin">
        <color rgb="FF0B1F3A"/>
      </right>
      <top style="thin">
        <color rgb="FF0B1F3A"/>
      </top>
      <bottom style="thin">
        <color rgb="FF0B1F3A"/>
      </bottom>
      <diagonal/>
    </border>
    <border diagonalUp="false" diagonalDown="false">
      <left style="thin">
        <color rgb="FFD8D2BE"/>
      </left>
      <right style="thin">
        <color rgb="FFD8D2BE"/>
      </right>
      <top style="thin">
        <color rgb="FFD8D2BE"/>
      </top>
      <bottom style="thin">
        <color rgb="FFE5E7EB"/>
      </bottom>
      <diagonal/>
    </border>
    <border diagonalUp="false" diagonalDown="false">
      <left style="thin">
        <color rgb="FFD8D2BE"/>
      </left>
      <right style="thin">
        <color rgb="FFD8D2BE"/>
      </right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D8D2BE"/>
      </left>
      <right/>
      <top style="thin">
        <color rgb="FFE5E7EB"/>
      </top>
      <bottom style="thin">
        <color rgb="FFE5E7EB"/>
      </bottom>
      <diagonal/>
    </border>
    <border diagonalUp="false" diagonalDown="false">
      <left/>
      <right/>
      <top style="thin">
        <color rgb="FFE5E7EB"/>
      </top>
      <bottom style="thin">
        <color rgb="FFE5E7EB"/>
      </bottom>
      <diagonal/>
    </border>
    <border diagonalUp="false" diagonalDown="false">
      <left/>
      <right style="thin">
        <color rgb="FFD8D2BE"/>
      </right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D8D2BE"/>
      </left>
      <right/>
      <top style="thin">
        <color rgb="FFE5E7EB"/>
      </top>
      <bottom style="thin">
        <color rgb="FFD8D2BE"/>
      </bottom>
      <diagonal/>
    </border>
    <border diagonalUp="false" diagonalDown="false">
      <left/>
      <right/>
      <top style="thin">
        <color rgb="FFE5E7EB"/>
      </top>
      <bottom style="thin">
        <color rgb="FFD8D2BE"/>
      </bottom>
      <diagonal/>
    </border>
    <border diagonalUp="false" diagonalDown="false">
      <left/>
      <right style="thin">
        <color rgb="FFD8D2BE"/>
      </right>
      <top style="thin">
        <color rgb="FFE5E7EB"/>
      </top>
      <bottom style="thin">
        <color rgb="FFD8D2BE"/>
      </bottom>
      <diagonal/>
    </border>
    <border diagonalUp="false" diagonalDown="false">
      <left/>
      <right/>
      <top/>
      <bottom style="thin">
        <color rgb="FFE5E7EB"/>
      </bottom>
      <diagonal/>
    </border>
    <border diagonalUp="false" diagonalDown="false">
      <left/>
      <right/>
      <top style="thin">
        <color rgb="FFE5E7EB"/>
      </top>
      <bottom/>
      <diagonal/>
    </border>
    <border diagonalUp="false" diagonalDown="false">
      <left style="thin">
        <color rgb="FF0B1F3A"/>
      </left>
      <right style="thin">
        <color rgb="FF0B1F3A"/>
      </right>
      <top style="thin">
        <color rgb="FF0B1F3A"/>
      </top>
      <bottom style="thin">
        <color rgb="FF0B1F3A"/>
      </bottom>
      <diagonal/>
    </border>
    <border diagonalUp="false" diagonalDown="false">
      <left style="thin">
        <color rgb="FFCBD5E1"/>
      </left>
      <right/>
      <top style="thin">
        <color rgb="FFCBD5E1"/>
      </top>
      <bottom/>
      <diagonal/>
    </border>
    <border diagonalUp="false" diagonalDown="false">
      <left/>
      <right/>
      <top style="thin">
        <color rgb="FFCBD5E1"/>
      </top>
      <bottom/>
      <diagonal/>
    </border>
    <border diagonalUp="false" diagonalDown="false">
      <left/>
      <right style="thin">
        <color rgb="FFCBD5E1"/>
      </right>
      <top style="thin">
        <color rgb="FFCBD5E1"/>
      </top>
      <bottom/>
      <diagonal/>
    </border>
    <border diagonalUp="false" diagonalDown="false">
      <left style="thin">
        <color rgb="FFCBD5E1"/>
      </left>
      <right/>
      <top/>
      <bottom/>
      <diagonal/>
    </border>
    <border diagonalUp="false" diagonalDown="false">
      <left/>
      <right style="thin">
        <color rgb="FFCBD5E1"/>
      </right>
      <top/>
      <bottom/>
      <diagonal/>
    </border>
    <border diagonalUp="false" diagonalDown="false">
      <left style="thin">
        <color rgb="FFCBD5E1"/>
      </left>
      <right/>
      <top/>
      <bottom style="thin">
        <color rgb="FFCBD5E1"/>
      </bottom>
      <diagonal/>
    </border>
    <border diagonalUp="false" diagonalDown="false">
      <left/>
      <right/>
      <top/>
      <bottom style="thin">
        <color rgb="FFCBD5E1"/>
      </bottom>
      <diagonal/>
    </border>
    <border diagonalUp="false" diagonalDown="false">
      <left/>
      <right style="thin">
        <color rgb="FFCBD5E1"/>
      </right>
      <top/>
      <bottom style="thin">
        <color rgb="FFCBD5E1"/>
      </bottom>
      <diagonal/>
    </border>
    <border diagonalUp="false" diagonalDown="false">
      <left/>
      <right/>
      <top style="thin">
        <color rgb="FFCBD5E1"/>
      </top>
      <bottom style="thin">
        <color rgb="FFCBD5E1"/>
      </bottom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</cellStyleXfs>
  <cellXfs count="1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0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0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11" fillId="0" borderId="0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2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3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5" fillId="0" borderId="0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4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1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3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6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2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2" fontId="17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4" fontId="17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7" fontId="5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5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5" fontId="5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5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4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5" fontId="17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6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4" borderId="4" xfId="2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4" borderId="4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9" fillId="2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8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9" fontId="9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9" fontId="9" fillId="2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9" fontId="11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9" fontId="11" fillId="2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9" fontId="21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9" fontId="10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2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80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1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5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9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23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9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24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4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5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4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3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5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3" borderId="5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3" borderId="6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7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0" fillId="0" borderId="8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15" fillId="0" borderId="8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5" fillId="0" borderId="8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9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15" fillId="0" borderId="9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5" fillId="0" borderId="9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1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32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32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12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13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3" fontId="33" fillId="0" borderId="14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33" fillId="0" borderId="14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15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3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6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35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6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36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1" fontId="36" fillId="5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6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35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6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5" fillId="0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5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1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1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3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2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2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32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32" fillId="0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1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31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7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3" borderId="18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6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5" fillId="0" borderId="16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5" fillId="0" borderId="11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7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6" fontId="5" fillId="0" borderId="17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5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2" fontId="32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31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2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2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1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1" fillId="0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7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32" fillId="0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17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3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6" borderId="1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7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1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31" fillId="0" borderId="1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83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82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5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4" fontId="31" fillId="0" borderId="1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19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40" fillId="6" borderId="2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2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21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0" borderId="22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40" fillId="0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0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0" borderId="23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22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40" fillId="6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40" fillId="6" borderId="23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24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4" fontId="40" fillId="6" borderId="25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0" fillId="6" borderId="25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40" fillId="6" borderId="25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84" fontId="40" fillId="6" borderId="2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31" fillId="0" borderId="16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31" fillId="0" borderId="1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8" borderId="25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1" fillId="8" borderId="27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1" fillId="8" borderId="20" xfId="2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2" fillId="9" borderId="0" xfId="24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</cellStyles>
  <dxfs count="28"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166534"/>
      </font>
      <fill>
        <patternFill>
          <bgColor rgb="FFDCFCE7"/>
        </patternFill>
      </fill>
    </dxf>
    <dxf>
      <font>
        <b val="1"/>
        <color rgb="FF991B1B"/>
      </font>
      <fill>
        <patternFill>
          <bgColor rgb="FFFEE2E2"/>
        </patternFill>
      </fill>
    </dxf>
    <dxf>
      <font>
        <b val="1"/>
        <color rgb="FF92400E"/>
      </font>
      <fill>
        <patternFill>
          <bgColor rgb="FFFEF3C7"/>
        </patternFill>
      </fill>
    </dxf>
    <dxf>
      <font>
        <b val="1"/>
        <color rgb="FF991B1B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1A7A4A"/>
      <rgbColor rgb="FFD8D2BE"/>
      <rgbColor rgb="FF888888"/>
      <rgbColor rgb="FF9999FF"/>
      <rgbColor rgb="FF78350F"/>
      <rgbColor rgb="FFFEF3C7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166534"/>
      <rgbColor rgb="FF0000FF"/>
      <rgbColor rgb="FF00CCFF"/>
      <rgbColor rgb="FFE8F0F8"/>
      <rgbColor rgb="FFE5E7EB"/>
      <rgbColor rgb="FFF3F1E7"/>
      <rgbColor rgb="FFF8FAFC"/>
      <rgbColor rgb="FFFF99CC"/>
      <rgbColor rgb="FFCC99FF"/>
      <rgbColor rgb="FFFEE2E2"/>
      <rgbColor rgb="FF3366FF"/>
      <rgbColor rgb="FF33CCCC"/>
      <rgbColor rgb="FF99CC00"/>
      <rgbColor rgb="FFFFCC00"/>
      <rgbColor rgb="FFC9A227"/>
      <rgbColor rgb="FFFF6600"/>
      <rgbColor rgb="FF64748B"/>
      <rgbColor rgb="FF969696"/>
      <rgbColor rgb="FF163A5F"/>
      <rgbColor rgb="FF339966"/>
      <rgbColor rgb="FF0D1B2A"/>
      <rgbColor rgb="FF111827"/>
      <rgbColor rgb="FF92400E"/>
      <rgbColor rgb="FF993366"/>
      <rgbColor rgb="FF555555"/>
      <rgbColor rgb="FF0B1F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31"/>
    <col collapsed="false" customWidth="true" hidden="false" outlineLevel="0" max="3" min="3" style="0" width="46"/>
  </cols>
  <sheetData>
    <row r="1" customFormat="false" ht="16.8" hidden="false" customHeight="true" outlineLevel="0" collapsed="false">
      <c r="A1" s="1" t="s">
        <v>0</v>
      </c>
    </row>
    <row r="2" customFormat="false" ht="15" hidden="false" customHeight="true" outlineLevel="0" collapsed="false">
      <c r="A2" s="2" t="s">
        <v>1</v>
      </c>
    </row>
    <row r="4" customFormat="false" ht="15" hidden="false" customHeight="true" outlineLevel="0" collapsed="false">
      <c r="A4" s="3" t="s">
        <v>2</v>
      </c>
    </row>
    <row r="5" customFormat="false" ht="15" hidden="false" customHeight="true" outlineLevel="0" collapsed="false">
      <c r="A5" s="4" t="s">
        <v>3</v>
      </c>
      <c r="B5" s="5" t="n">
        <f aca="false">Assumptions!B5</f>
        <v>1000000</v>
      </c>
      <c r="C5" s="2" t="s">
        <v>4</v>
      </c>
    </row>
    <row r="6" customFormat="false" ht="15" hidden="false" customHeight="true" outlineLevel="0" collapsed="false">
      <c r="A6" s="4" t="s">
        <v>5</v>
      </c>
      <c r="B6" s="5" t="n">
        <f aca="false">Assumptions!B6</f>
        <v>6000000</v>
      </c>
      <c r="C6" s="2" t="s">
        <v>6</v>
      </c>
    </row>
    <row r="7" customFormat="false" ht="15" hidden="false" customHeight="true" outlineLevel="0" collapsed="false">
      <c r="A7" s="4" t="s">
        <v>7</v>
      </c>
      <c r="B7" s="6" t="n">
        <f aca="false">Assumptions!B7</f>
        <v>0.2</v>
      </c>
      <c r="C7" s="2" t="s">
        <v>8</v>
      </c>
    </row>
    <row r="9" customFormat="false" ht="15" hidden="false" customHeight="true" outlineLevel="0" collapsed="false">
      <c r="A9" s="3" t="s">
        <v>9</v>
      </c>
    </row>
    <row r="10" customFormat="false" ht="15" hidden="false" customHeight="true" outlineLevel="0" collapsed="false">
      <c r="A10" s="4" t="s">
        <v>10</v>
      </c>
      <c r="B10" s="5" t="n">
        <f aca="false">'Monthly P&amp;L'!Z11</f>
        <v>1623557.69230769</v>
      </c>
      <c r="C10" s="2" t="s">
        <v>11</v>
      </c>
    </row>
    <row r="11" customFormat="false" ht="15" hidden="false" customHeight="true" outlineLevel="0" collapsed="false">
      <c r="A11" s="4" t="s">
        <v>12</v>
      </c>
      <c r="B11" s="5" t="n">
        <f aca="false">'Monthly P&amp;L'!AA11</f>
        <v>8908509.61538462</v>
      </c>
      <c r="C11" s="2" t="s">
        <v>13</v>
      </c>
    </row>
    <row r="12" customFormat="false" ht="15" hidden="false" customHeight="true" outlineLevel="0" collapsed="false">
      <c r="A12" s="4" t="s">
        <v>14</v>
      </c>
      <c r="B12" s="5" t="n">
        <f aca="false">'Monthly P&amp;L'!AB11</f>
        <v>10532067.3076923</v>
      </c>
      <c r="C12" s="2" t="s">
        <v>15</v>
      </c>
    </row>
    <row r="13" customFormat="false" ht="15" hidden="false" customHeight="true" outlineLevel="0" collapsed="false">
      <c r="A13" s="4" t="s">
        <v>16</v>
      </c>
      <c r="B13" s="5" t="n">
        <f aca="false">'Monthly P&amp;L'!Z16</f>
        <v>249139.102564108</v>
      </c>
    </row>
    <row r="14" customFormat="false" ht="15" hidden="false" customHeight="true" outlineLevel="0" collapsed="false">
      <c r="A14" s="4" t="s">
        <v>17</v>
      </c>
      <c r="B14" s="5" t="n">
        <f aca="false">'Monthly P&amp;L'!AB16</f>
        <v>4340610.25641029</v>
      </c>
    </row>
    <row r="15" customFormat="false" ht="15" hidden="false" customHeight="true" outlineLevel="0" collapsed="false">
      <c r="A15" s="4" t="s">
        <v>18</v>
      </c>
      <c r="B15" s="6" t="n">
        <f aca="false">'Monthly P&amp;L'!AA16/'Monthly P&amp;L'!AA11</f>
        <v>0.459276728711208</v>
      </c>
      <c r="C15" s="2" t="s">
        <v>19</v>
      </c>
    </row>
    <row r="16" customFormat="false" ht="15" hidden="false" customHeight="true" outlineLevel="0" collapsed="false">
      <c r="A16" s="4" t="s">
        <v>20</v>
      </c>
      <c r="B16" s="5" t="n">
        <f aca="false">'Monthly P&amp;L'!Y11*12</f>
        <v>10701923.0769231</v>
      </c>
      <c r="C16" s="2" t="s">
        <v>21</v>
      </c>
    </row>
    <row r="17" customFormat="false" ht="15" hidden="false" customHeight="true" outlineLevel="0" collapsed="false">
      <c r="A17" s="4" t="s">
        <v>22</v>
      </c>
      <c r="B17" s="7" t="s">
        <v>23</v>
      </c>
      <c r="C17" s="2" t="s">
        <v>24</v>
      </c>
    </row>
    <row r="18" customFormat="false" ht="15" hidden="false" customHeight="true" outlineLevel="0" collapsed="false">
      <c r="A18" s="4" t="s">
        <v>25</v>
      </c>
      <c r="B18" s="7" t="s">
        <v>26</v>
      </c>
      <c r="C18" s="2" t="s">
        <v>27</v>
      </c>
    </row>
    <row r="20" customFormat="false" ht="15" hidden="false" customHeight="true" outlineLevel="0" collapsed="false">
      <c r="A20" s="3" t="s">
        <v>28</v>
      </c>
    </row>
    <row r="21" customFormat="false" ht="15" hidden="false" customHeight="true" outlineLevel="0" collapsed="false">
      <c r="A21" s="4" t="s">
        <v>29</v>
      </c>
      <c r="B21" s="7" t="s">
        <v>30</v>
      </c>
      <c r="C21" s="2" t="s">
        <v>31</v>
      </c>
    </row>
    <row r="22" customFormat="false" ht="15" hidden="false" customHeight="true" outlineLevel="0" collapsed="false">
      <c r="A22" s="4" t="s">
        <v>32</v>
      </c>
      <c r="B22" s="7" t="s">
        <v>33</v>
      </c>
      <c r="C22" s="2" t="s">
        <v>34</v>
      </c>
    </row>
    <row r="23" customFormat="false" ht="15" hidden="false" customHeight="true" outlineLevel="0" collapsed="false">
      <c r="A23" s="4" t="s">
        <v>35</v>
      </c>
      <c r="B23" s="8" t="n">
        <f aca="false">'Scenario Stress'!$E$18</f>
        <v>22417656.0047096</v>
      </c>
      <c r="C23" s="2" t="s">
        <v>36</v>
      </c>
    </row>
    <row r="25" customFormat="false" ht="15" hidden="false" customHeight="true" outlineLevel="0" collapsed="false">
      <c r="A25" s="3" t="s">
        <v>37</v>
      </c>
    </row>
    <row r="26" customFormat="false" ht="15" hidden="false" customHeight="true" outlineLevel="0" collapsed="false">
      <c r="A26" s="4" t="s">
        <v>38</v>
      </c>
      <c r="B26" s="9" t="str">
        <f aca="false">IF(ROUND('Monthly P&amp;L'!AB11-SUM('Monthly P&amp;L'!B11:Y11),0)=0,"OK","ERR")</f>
        <v>OK</v>
      </c>
    </row>
    <row r="27" customFormat="false" ht="15" hidden="false" customHeight="true" outlineLevel="0" collapsed="false">
      <c r="A27" s="4" t="s">
        <v>39</v>
      </c>
      <c r="B27" s="9" t="str">
        <f aca="false">IF(ROUND('Monthly P&amp;L'!AB16-('Monthly P&amp;L'!AB14-'Monthly P&amp;L'!AB15),0)=0,"OK","ERR")</f>
        <v>OK</v>
      </c>
    </row>
    <row r="28" customFormat="false" ht="15" hidden="false" customHeight="true" outlineLevel="0" collapsed="false">
      <c r="A28" s="4" t="s">
        <v>40</v>
      </c>
      <c r="B28" s="9" t="str">
        <f aca="false">IF(MIN('Cash Flow'!B5:Y5)&gt;=0,"OK","ERR")</f>
        <v>OK</v>
      </c>
      <c r="C28" s="0" t="s">
        <v>41</v>
      </c>
    </row>
    <row r="29" customFormat="false" ht="15" hidden="false" customHeight="true" outlineLevel="0" collapsed="false">
      <c r="A29" s="4" t="s">
        <v>42</v>
      </c>
      <c r="B29" s="9" t="str">
        <f aca="false">IF('Monthly P&amp;L'!H5=49,"OK","ERR")</f>
        <v>OK</v>
      </c>
    </row>
    <row r="30" customFormat="false" ht="15" hidden="false" customHeight="true" outlineLevel="0" collapsed="false">
      <c r="A30" s="4" t="s">
        <v>43</v>
      </c>
      <c r="B30" s="9" t="str">
        <f aca="false">IF('Monthly P&amp;L'!Y5=490,"OK","ERR")</f>
        <v>OK</v>
      </c>
    </row>
    <row r="31" customFormat="false" ht="15" hidden="false" customHeight="true" outlineLevel="0" collapsed="false">
      <c r="A31" s="4" t="s">
        <v>44</v>
      </c>
      <c r="B31" s="9" t="str">
        <f aca="false">IF(ROUND('Use of Funds'!B9,4)=1,"OK","ERR")</f>
        <v>OK</v>
      </c>
    </row>
    <row r="33" customFormat="false" ht="15" hidden="false" customHeight="true" outlineLevel="0" collapsed="false">
      <c r="A33" s="10" t="s">
        <v>45</v>
      </c>
      <c r="B33" s="11"/>
      <c r="C33" s="12"/>
    </row>
    <row r="34" customFormat="false" ht="15" hidden="false" customHeight="true" outlineLevel="0" collapsed="false">
      <c r="A34" s="0" t="s">
        <v>46</v>
      </c>
      <c r="B34" s="0" t="str">
        <f aca="false">Checks!$B$3</f>
        <v>PRE-DILIGENCE: OPEN ITEMS</v>
      </c>
      <c r="C34" s="0" t="s">
        <v>47</v>
      </c>
    </row>
    <row r="35" customFormat="false" ht="15" hidden="false" customHeight="true" outlineLevel="0" collapsed="false">
      <c r="A35" s="0" t="s">
        <v>48</v>
      </c>
      <c r="B35" s="13" t="n">
        <f aca="false">'Cash Flow (WC)'!$B$22</f>
        <v>667272.115384617</v>
      </c>
      <c r="C35" s="0" t="s">
        <v>49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5" min="2" style="0" width="12"/>
  </cols>
  <sheetData>
    <row r="1" customFormat="false" ht="30" hidden="false" customHeight="true" outlineLevel="0" collapsed="false">
      <c r="A1" s="87" t="s">
        <v>275</v>
      </c>
      <c r="B1" s="87" t="s">
        <v>275</v>
      </c>
      <c r="C1" s="87" t="s">
        <v>275</v>
      </c>
      <c r="D1" s="87" t="s">
        <v>275</v>
      </c>
      <c r="E1" s="87" t="s">
        <v>275</v>
      </c>
      <c r="F1" s="87" t="s">
        <v>275</v>
      </c>
      <c r="G1" s="87" t="s">
        <v>275</v>
      </c>
      <c r="H1" s="87" t="s">
        <v>275</v>
      </c>
      <c r="I1" s="87" t="s">
        <v>275</v>
      </c>
      <c r="J1" s="87" t="s">
        <v>275</v>
      </c>
      <c r="K1" s="87" t="s">
        <v>275</v>
      </c>
      <c r="L1" s="87" t="s">
        <v>275</v>
      </c>
      <c r="M1" s="87" t="s">
        <v>275</v>
      </c>
      <c r="N1" s="87" t="s">
        <v>275</v>
      </c>
      <c r="O1" s="87" t="s">
        <v>275</v>
      </c>
      <c r="P1" s="87" t="s">
        <v>275</v>
      </c>
      <c r="Q1" s="87" t="s">
        <v>275</v>
      </c>
      <c r="R1" s="87" t="s">
        <v>275</v>
      </c>
      <c r="S1" s="87" t="s">
        <v>275</v>
      </c>
      <c r="T1" s="87" t="s">
        <v>275</v>
      </c>
      <c r="U1" s="87" t="s">
        <v>275</v>
      </c>
      <c r="V1" s="87" t="s">
        <v>275</v>
      </c>
      <c r="W1" s="87" t="s">
        <v>275</v>
      </c>
      <c r="X1" s="87" t="s">
        <v>275</v>
      </c>
      <c r="Y1" s="87" t="s">
        <v>275</v>
      </c>
    </row>
    <row r="2" customFormat="false" ht="15" hidden="false" customHeight="true" outlineLevel="0" collapsed="false">
      <c r="A2" s="88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customFormat="false" ht="15" hidden="false" customHeight="false" outlineLevel="0" collapsed="false">
      <c r="A3" s="10" t="s">
        <v>150</v>
      </c>
      <c r="B3" s="11" t="str">
        <f aca="false">'Monthly P&amp;L'!B3</f>
        <v>Jul-26</v>
      </c>
      <c r="C3" s="11" t="str">
        <f aca="false">'Monthly P&amp;L'!C3</f>
        <v>Aug-26</v>
      </c>
      <c r="D3" s="11" t="str">
        <f aca="false">'Monthly P&amp;L'!D3</f>
        <v>Sep-26</v>
      </c>
      <c r="E3" s="11" t="str">
        <f aca="false">'Monthly P&amp;L'!E3</f>
        <v>Oct-26</v>
      </c>
      <c r="F3" s="11" t="str">
        <f aca="false">'Monthly P&amp;L'!F3</f>
        <v>Nov-26</v>
      </c>
      <c r="G3" s="11" t="str">
        <f aca="false">'Monthly P&amp;L'!G3</f>
        <v>Dec-26</v>
      </c>
      <c r="H3" s="11" t="str">
        <f aca="false">'Monthly P&amp;L'!H3</f>
        <v>Jan-27</v>
      </c>
      <c r="I3" s="11" t="str">
        <f aca="false">'Monthly P&amp;L'!I3</f>
        <v>Feb-27</v>
      </c>
      <c r="J3" s="11" t="str">
        <f aca="false">'Monthly P&amp;L'!J3</f>
        <v>Mar-27</v>
      </c>
      <c r="K3" s="11" t="str">
        <f aca="false">'Monthly P&amp;L'!K3</f>
        <v>Apr-27</v>
      </c>
      <c r="L3" s="11" t="str">
        <f aca="false">'Monthly P&amp;L'!L3</f>
        <v>May-27</v>
      </c>
      <c r="M3" s="11" t="str">
        <f aca="false">'Monthly P&amp;L'!M3</f>
        <v>Jun-27</v>
      </c>
      <c r="N3" s="11" t="str">
        <f aca="false">'Monthly P&amp;L'!N3</f>
        <v>Jul-27</v>
      </c>
      <c r="O3" s="11" t="str">
        <f aca="false">'Monthly P&amp;L'!O3</f>
        <v>Aug-27</v>
      </c>
      <c r="P3" s="11" t="str">
        <f aca="false">'Monthly P&amp;L'!P3</f>
        <v>Sep-27</v>
      </c>
      <c r="Q3" s="11" t="str">
        <f aca="false">'Monthly P&amp;L'!Q3</f>
        <v>Oct-27</v>
      </c>
      <c r="R3" s="11" t="str">
        <f aca="false">'Monthly P&amp;L'!R3</f>
        <v>Nov-27</v>
      </c>
      <c r="S3" s="11" t="str">
        <f aca="false">'Monthly P&amp;L'!S3</f>
        <v>Dec-27</v>
      </c>
      <c r="T3" s="11" t="str">
        <f aca="false">'Monthly P&amp;L'!T3</f>
        <v>Jan-28</v>
      </c>
      <c r="U3" s="11" t="str">
        <f aca="false">'Monthly P&amp;L'!U3</f>
        <v>Feb-28</v>
      </c>
      <c r="V3" s="11" t="str">
        <f aca="false">'Monthly P&amp;L'!V3</f>
        <v>Mar-28</v>
      </c>
      <c r="W3" s="11" t="str">
        <f aca="false">'Monthly P&amp;L'!W3</f>
        <v>Apr-28</v>
      </c>
      <c r="X3" s="11" t="str">
        <f aca="false">'Monthly P&amp;L'!X3</f>
        <v>May-28</v>
      </c>
      <c r="Y3" s="12" t="str">
        <f aca="false">'Monthly P&amp;L'!Y3</f>
        <v>Jun-28</v>
      </c>
    </row>
    <row r="4" customFormat="false" ht="15" hidden="false" customHeight="false" outlineLevel="0" collapsed="false">
      <c r="A4" s="89" t="s">
        <v>277</v>
      </c>
      <c r="B4" s="90" t="n">
        <f aca="false">'Monthly P&amp;L'!B4</f>
        <v>2</v>
      </c>
      <c r="C4" s="90" t="n">
        <f aca="false">'Monthly P&amp;L'!C4</f>
        <v>3</v>
      </c>
      <c r="D4" s="90" t="n">
        <f aca="false">'Monthly P&amp;L'!D4</f>
        <v>4</v>
      </c>
      <c r="E4" s="90" t="n">
        <f aca="false">'Monthly P&amp;L'!E4</f>
        <v>6</v>
      </c>
      <c r="F4" s="90" t="n">
        <f aca="false">'Monthly P&amp;L'!F4</f>
        <v>7</v>
      </c>
      <c r="G4" s="90" t="n">
        <f aca="false">'Monthly P&amp;L'!G4</f>
        <v>8</v>
      </c>
      <c r="H4" s="90" t="n">
        <f aca="false">'Monthly P&amp;L'!H4</f>
        <v>10</v>
      </c>
      <c r="I4" s="90" t="n">
        <f aca="false">'Monthly P&amp;L'!I4</f>
        <v>12</v>
      </c>
      <c r="J4" s="90" t="n">
        <f aca="false">'Monthly P&amp;L'!J4</f>
        <v>14</v>
      </c>
      <c r="K4" s="90" t="n">
        <f aca="false">'Monthly P&amp;L'!K4</f>
        <v>16</v>
      </c>
      <c r="L4" s="90" t="n">
        <f aca="false">'Monthly P&amp;L'!L4</f>
        <v>18</v>
      </c>
      <c r="M4" s="90" t="n">
        <f aca="false">'Monthly P&amp;L'!M4</f>
        <v>20</v>
      </c>
      <c r="N4" s="90" t="n">
        <f aca="false">'Monthly P&amp;L'!N4</f>
        <v>22</v>
      </c>
      <c r="O4" s="90" t="n">
        <f aca="false">'Monthly P&amp;L'!O4</f>
        <v>24</v>
      </c>
      <c r="P4" s="90" t="n">
        <f aca="false">'Monthly P&amp;L'!P4</f>
        <v>26</v>
      </c>
      <c r="Q4" s="90" t="n">
        <f aca="false">'Monthly P&amp;L'!Q4</f>
        <v>28</v>
      </c>
      <c r="R4" s="90" t="n">
        <f aca="false">'Monthly P&amp;L'!R4</f>
        <v>30</v>
      </c>
      <c r="S4" s="90" t="n">
        <f aca="false">'Monthly P&amp;L'!S4</f>
        <v>31</v>
      </c>
      <c r="T4" s="90" t="n">
        <f aca="false">'Monthly P&amp;L'!T4</f>
        <v>31</v>
      </c>
      <c r="U4" s="90" t="n">
        <f aca="false">'Monthly P&amp;L'!U4</f>
        <v>31</v>
      </c>
      <c r="V4" s="90" t="n">
        <f aca="false">'Monthly P&amp;L'!V4</f>
        <v>32</v>
      </c>
      <c r="W4" s="90" t="n">
        <f aca="false">'Monthly P&amp;L'!W4</f>
        <v>32</v>
      </c>
      <c r="X4" s="90" t="n">
        <f aca="false">'Monthly P&amp;L'!X4</f>
        <v>32</v>
      </c>
      <c r="Y4" s="90" t="n">
        <f aca="false">'Monthly P&amp;L'!Y4</f>
        <v>32</v>
      </c>
    </row>
    <row r="5" customFormat="false" ht="15" hidden="false" customHeight="false" outlineLevel="0" collapsed="false">
      <c r="A5" s="91" t="s">
        <v>278</v>
      </c>
      <c r="B5" s="92" t="n">
        <f aca="false">B4</f>
        <v>2</v>
      </c>
      <c r="C5" s="92" t="n">
        <f aca="false">MAX(0,C4-B4)</f>
        <v>1</v>
      </c>
      <c r="D5" s="92" t="n">
        <f aca="false">MAX(0,D4-C4)</f>
        <v>1</v>
      </c>
      <c r="E5" s="92" t="n">
        <f aca="false">MAX(0,E4-D4)</f>
        <v>2</v>
      </c>
      <c r="F5" s="92" t="n">
        <f aca="false">MAX(0,F4-E4)</f>
        <v>1</v>
      </c>
      <c r="G5" s="92" t="n">
        <f aca="false">MAX(0,G4-F4)</f>
        <v>1</v>
      </c>
      <c r="H5" s="92" t="n">
        <f aca="false">MAX(0,H4-G4)</f>
        <v>2</v>
      </c>
      <c r="I5" s="92" t="n">
        <f aca="false">MAX(0,I4-H4)</f>
        <v>2</v>
      </c>
      <c r="J5" s="92" t="n">
        <f aca="false">MAX(0,J4-I4)</f>
        <v>2</v>
      </c>
      <c r="K5" s="92" t="n">
        <f aca="false">MAX(0,K4-J4)</f>
        <v>2</v>
      </c>
      <c r="L5" s="92" t="n">
        <f aca="false">MAX(0,L4-K4)</f>
        <v>2</v>
      </c>
      <c r="M5" s="92" t="n">
        <f aca="false">MAX(0,M4-L4)</f>
        <v>2</v>
      </c>
      <c r="N5" s="92" t="n">
        <f aca="false">MAX(0,N4-M4)</f>
        <v>2</v>
      </c>
      <c r="O5" s="92" t="n">
        <f aca="false">MAX(0,O4-N4)</f>
        <v>2</v>
      </c>
      <c r="P5" s="92" t="n">
        <f aca="false">MAX(0,P4-O4)</f>
        <v>2</v>
      </c>
      <c r="Q5" s="92" t="n">
        <f aca="false">MAX(0,Q4-P4)</f>
        <v>2</v>
      </c>
      <c r="R5" s="92" t="n">
        <f aca="false">MAX(0,R4-Q4)</f>
        <v>2</v>
      </c>
      <c r="S5" s="92" t="n">
        <f aca="false">MAX(0,S4-R4)</f>
        <v>1</v>
      </c>
      <c r="T5" s="92" t="n">
        <f aca="false">MAX(0,T4-S4)</f>
        <v>0</v>
      </c>
      <c r="U5" s="92" t="n">
        <f aca="false">MAX(0,U4-T4)</f>
        <v>0</v>
      </c>
      <c r="V5" s="92" t="n">
        <f aca="false">MAX(0,V4-U4)</f>
        <v>1</v>
      </c>
      <c r="W5" s="92" t="n">
        <f aca="false">MAX(0,W4-V4)</f>
        <v>0</v>
      </c>
      <c r="X5" s="92" t="n">
        <f aca="false">MAX(0,X4-W4)</f>
        <v>0</v>
      </c>
      <c r="Y5" s="92" t="n">
        <f aca="false">MAX(0,Y4-X4)</f>
        <v>0</v>
      </c>
    </row>
    <row r="6" customFormat="false" ht="15" hidden="false" customHeight="false" outlineLevel="0" collapsed="false">
      <c r="A6" s="91" t="s">
        <v>279</v>
      </c>
      <c r="B6" s="92" t="n">
        <f aca="false">B5*Assumptions!$B$51</f>
        <v>0.5</v>
      </c>
      <c r="C6" s="92" t="n">
        <f aca="false">C5*Assumptions!$B$51</f>
        <v>0.25</v>
      </c>
      <c r="D6" s="92" t="n">
        <f aca="false">D5*Assumptions!$B$51</f>
        <v>0.25</v>
      </c>
      <c r="E6" s="92" t="n">
        <f aca="false">E5*Assumptions!$B$51</f>
        <v>0.5</v>
      </c>
      <c r="F6" s="92" t="n">
        <f aca="false">F5*Assumptions!$B$51</f>
        <v>0.25</v>
      </c>
      <c r="G6" s="92" t="n">
        <f aca="false">G5*Assumptions!$B$51</f>
        <v>0.25</v>
      </c>
      <c r="H6" s="92" t="n">
        <f aca="false">H5*Assumptions!$B$51</f>
        <v>0.5</v>
      </c>
      <c r="I6" s="92" t="n">
        <f aca="false">I5*Assumptions!$B$51</f>
        <v>0.5</v>
      </c>
      <c r="J6" s="92" t="n">
        <f aca="false">J5*Assumptions!$B$51</f>
        <v>0.5</v>
      </c>
      <c r="K6" s="92" t="n">
        <f aca="false">K5*Assumptions!$B$51</f>
        <v>0.5</v>
      </c>
      <c r="L6" s="92" t="n">
        <f aca="false">L5*Assumptions!$B$51</f>
        <v>0.5</v>
      </c>
      <c r="M6" s="92" t="n">
        <f aca="false">M5*Assumptions!$B$51</f>
        <v>0.5</v>
      </c>
      <c r="N6" s="92" t="n">
        <f aca="false">N5*Assumptions!$B$51</f>
        <v>0.5</v>
      </c>
      <c r="O6" s="92" t="n">
        <f aca="false">O5*Assumptions!$B$51</f>
        <v>0.5</v>
      </c>
      <c r="P6" s="92" t="n">
        <f aca="false">P5*Assumptions!$B$51</f>
        <v>0.5</v>
      </c>
      <c r="Q6" s="92" t="n">
        <f aca="false">Q5*Assumptions!$B$51</f>
        <v>0.5</v>
      </c>
      <c r="R6" s="92" t="n">
        <f aca="false">R5*Assumptions!$B$51</f>
        <v>0.5</v>
      </c>
      <c r="S6" s="92" t="n">
        <f aca="false">S5*Assumptions!$B$51</f>
        <v>0.25</v>
      </c>
      <c r="T6" s="92" t="n">
        <f aca="false">T5*Assumptions!$B$51</f>
        <v>0</v>
      </c>
      <c r="U6" s="92" t="n">
        <f aca="false">U5*Assumptions!$B$51</f>
        <v>0</v>
      </c>
      <c r="V6" s="92" t="n">
        <f aca="false">V5*Assumptions!$B$51</f>
        <v>0.25</v>
      </c>
      <c r="W6" s="92" t="n">
        <f aca="false">W5*Assumptions!$B$51</f>
        <v>0</v>
      </c>
      <c r="X6" s="92" t="n">
        <f aca="false">X5*Assumptions!$B$51</f>
        <v>0</v>
      </c>
      <c r="Y6" s="92" t="n">
        <f aca="false">Y5*Assumptions!$B$51</f>
        <v>0</v>
      </c>
    </row>
    <row r="7" customFormat="false" ht="15" hidden="false" customHeight="false" outlineLevel="0" collapsed="false">
      <c r="A7" s="91" t="s">
        <v>280</v>
      </c>
      <c r="B7" s="92" t="n">
        <f aca="false">0</f>
        <v>0</v>
      </c>
      <c r="C7" s="92" t="n">
        <f aca="false">B5*Assumptions!$B$52</f>
        <v>1</v>
      </c>
      <c r="D7" s="92" t="n">
        <f aca="false">C5*Assumptions!$B$52</f>
        <v>0.5</v>
      </c>
      <c r="E7" s="92" t="n">
        <f aca="false">D5*Assumptions!$B$52</f>
        <v>0.5</v>
      </c>
      <c r="F7" s="92" t="n">
        <f aca="false">E5*Assumptions!$B$52</f>
        <v>1</v>
      </c>
      <c r="G7" s="92" t="n">
        <f aca="false">F5*Assumptions!$B$52</f>
        <v>0.5</v>
      </c>
      <c r="H7" s="92" t="n">
        <f aca="false">G5*Assumptions!$B$52</f>
        <v>0.5</v>
      </c>
      <c r="I7" s="92" t="n">
        <f aca="false">H5*Assumptions!$B$52</f>
        <v>1</v>
      </c>
      <c r="J7" s="92" t="n">
        <f aca="false">I5*Assumptions!$B$52</f>
        <v>1</v>
      </c>
      <c r="K7" s="92" t="n">
        <f aca="false">J5*Assumptions!$B$52</f>
        <v>1</v>
      </c>
      <c r="L7" s="92" t="n">
        <f aca="false">K5*Assumptions!$B$52</f>
        <v>1</v>
      </c>
      <c r="M7" s="92" t="n">
        <f aca="false">L5*Assumptions!$B$52</f>
        <v>1</v>
      </c>
      <c r="N7" s="92" t="n">
        <f aca="false">M5*Assumptions!$B$52</f>
        <v>1</v>
      </c>
      <c r="O7" s="92" t="n">
        <f aca="false">N5*Assumptions!$B$52</f>
        <v>1</v>
      </c>
      <c r="P7" s="92" t="n">
        <f aca="false">O5*Assumptions!$B$52</f>
        <v>1</v>
      </c>
      <c r="Q7" s="92" t="n">
        <f aca="false">P5*Assumptions!$B$52</f>
        <v>1</v>
      </c>
      <c r="R7" s="92" t="n">
        <f aca="false">Q5*Assumptions!$B$52</f>
        <v>1</v>
      </c>
      <c r="S7" s="92" t="n">
        <f aca="false">R5*Assumptions!$B$52</f>
        <v>1</v>
      </c>
      <c r="T7" s="92" t="n">
        <f aca="false">S5*Assumptions!$B$52</f>
        <v>0.5</v>
      </c>
      <c r="U7" s="92" t="n">
        <f aca="false">T5*Assumptions!$B$52</f>
        <v>0</v>
      </c>
      <c r="V7" s="92" t="n">
        <f aca="false">U5*Assumptions!$B$52</f>
        <v>0</v>
      </c>
      <c r="W7" s="92" t="n">
        <f aca="false">V5*Assumptions!$B$52</f>
        <v>0.5</v>
      </c>
      <c r="X7" s="92" t="n">
        <f aca="false">W5*Assumptions!$B$52</f>
        <v>0</v>
      </c>
      <c r="Y7" s="92" t="n">
        <f aca="false">X5*Assumptions!$B$52</f>
        <v>0</v>
      </c>
    </row>
    <row r="8" customFormat="false" ht="15" hidden="false" customHeight="false" outlineLevel="0" collapsed="false">
      <c r="A8" s="91" t="s">
        <v>281</v>
      </c>
      <c r="B8" s="92" t="n">
        <f aca="false">0</f>
        <v>0</v>
      </c>
      <c r="C8" s="92" t="n">
        <f aca="false">0</f>
        <v>0</v>
      </c>
      <c r="D8" s="92" t="n">
        <f aca="false">B5*Assumptions!$B$53</f>
        <v>1.5</v>
      </c>
      <c r="E8" s="92" t="n">
        <f aca="false">C5*Assumptions!$B$53</f>
        <v>0.75</v>
      </c>
      <c r="F8" s="92" t="n">
        <f aca="false">D5*Assumptions!$B$53</f>
        <v>0.75</v>
      </c>
      <c r="G8" s="92" t="n">
        <f aca="false">E5*Assumptions!$B$53</f>
        <v>1.5</v>
      </c>
      <c r="H8" s="92" t="n">
        <f aca="false">F5*Assumptions!$B$53</f>
        <v>0.75</v>
      </c>
      <c r="I8" s="92" t="n">
        <f aca="false">G5*Assumptions!$B$53</f>
        <v>0.75</v>
      </c>
      <c r="J8" s="92" t="n">
        <f aca="false">H5*Assumptions!$B$53</f>
        <v>1.5</v>
      </c>
      <c r="K8" s="92" t="n">
        <f aca="false">I5*Assumptions!$B$53</f>
        <v>1.5</v>
      </c>
      <c r="L8" s="92" t="n">
        <f aca="false">J5*Assumptions!$B$53</f>
        <v>1.5</v>
      </c>
      <c r="M8" s="92" t="n">
        <f aca="false">K5*Assumptions!$B$53</f>
        <v>1.5</v>
      </c>
      <c r="N8" s="92" t="n">
        <f aca="false">L5*Assumptions!$B$53</f>
        <v>1.5</v>
      </c>
      <c r="O8" s="92" t="n">
        <f aca="false">M5*Assumptions!$B$53</f>
        <v>1.5</v>
      </c>
      <c r="P8" s="92" t="n">
        <f aca="false">N5*Assumptions!$B$53</f>
        <v>1.5</v>
      </c>
      <c r="Q8" s="92" t="n">
        <f aca="false">O5*Assumptions!$B$53</f>
        <v>1.5</v>
      </c>
      <c r="R8" s="92" t="n">
        <f aca="false">P5*Assumptions!$B$53</f>
        <v>1.5</v>
      </c>
      <c r="S8" s="92" t="n">
        <f aca="false">Q5*Assumptions!$B$53</f>
        <v>1.5</v>
      </c>
      <c r="T8" s="92" t="n">
        <f aca="false">R5*Assumptions!$B$53</f>
        <v>1.5</v>
      </c>
      <c r="U8" s="92" t="n">
        <f aca="false">S5*Assumptions!$B$53</f>
        <v>0.75</v>
      </c>
      <c r="V8" s="92" t="n">
        <f aca="false">T5*Assumptions!$B$53</f>
        <v>0</v>
      </c>
      <c r="W8" s="92" t="n">
        <f aca="false">U5*Assumptions!$B$53</f>
        <v>0</v>
      </c>
      <c r="X8" s="92" t="n">
        <f aca="false">V5*Assumptions!$B$53</f>
        <v>0.75</v>
      </c>
      <c r="Y8" s="92" t="n">
        <f aca="false">W5*Assumptions!$B$53</f>
        <v>0</v>
      </c>
    </row>
    <row r="9" customFormat="false" ht="15" hidden="false" customHeight="false" outlineLevel="0" collapsed="false">
      <c r="A9" s="91" t="s">
        <v>282</v>
      </c>
      <c r="B9" s="92" t="n">
        <f aca="false">MAX(0,B4-SUM(B5))*Assumptions!$B$54</f>
        <v>0</v>
      </c>
      <c r="C9" s="92" t="n">
        <f aca="false">MAX(0,C4-SUM(C5,B5))*Assumptions!$B$54</f>
        <v>0</v>
      </c>
      <c r="D9" s="92" t="n">
        <f aca="false">MAX(0,D4-SUM(D5,C5,B5))*Assumptions!$B$54</f>
        <v>0</v>
      </c>
      <c r="E9" s="92" t="n">
        <f aca="false">MAX(0,E4-SUM(E5,D5,C5))*Assumptions!$B$54</f>
        <v>2</v>
      </c>
      <c r="F9" s="92" t="n">
        <f aca="false">MAX(0,F4-SUM(F5,E5,D5))*Assumptions!$B$54</f>
        <v>3</v>
      </c>
      <c r="G9" s="92" t="n">
        <f aca="false">MAX(0,G4-SUM(G5,F5,E5))*Assumptions!$B$54</f>
        <v>4</v>
      </c>
      <c r="H9" s="92" t="n">
        <f aca="false">MAX(0,H4-SUM(H5,G5,F5))*Assumptions!$B$54</f>
        <v>6</v>
      </c>
      <c r="I9" s="92" t="n">
        <f aca="false">MAX(0,I4-SUM(I5,H5,G5))*Assumptions!$B$54</f>
        <v>7</v>
      </c>
      <c r="J9" s="92" t="n">
        <f aca="false">MAX(0,J4-SUM(J5,I5,H5))*Assumptions!$B$54</f>
        <v>8</v>
      </c>
      <c r="K9" s="92" t="n">
        <f aca="false">MAX(0,K4-SUM(K5,J5,I5))*Assumptions!$B$54</f>
        <v>10</v>
      </c>
      <c r="L9" s="92" t="n">
        <f aca="false">MAX(0,L4-SUM(L5,K5,J5))*Assumptions!$B$54</f>
        <v>12</v>
      </c>
      <c r="M9" s="92" t="n">
        <f aca="false">MAX(0,M4-SUM(M5,L5,K5))*Assumptions!$B$54</f>
        <v>14</v>
      </c>
      <c r="N9" s="92" t="n">
        <f aca="false">MAX(0,N4-SUM(N5,M5,L5))*Assumptions!$B$54</f>
        <v>16</v>
      </c>
      <c r="O9" s="92" t="n">
        <f aca="false">MAX(0,O4-SUM(O5,N5,M5))*Assumptions!$B$54</f>
        <v>18</v>
      </c>
      <c r="P9" s="92" t="n">
        <f aca="false">MAX(0,P4-SUM(P5,O5,N5))*Assumptions!$B$54</f>
        <v>20</v>
      </c>
      <c r="Q9" s="92" t="n">
        <f aca="false">MAX(0,Q4-SUM(Q5,P5,O5))*Assumptions!$B$54</f>
        <v>22</v>
      </c>
      <c r="R9" s="92" t="n">
        <f aca="false">MAX(0,R4-SUM(R5,Q5,P5))*Assumptions!$B$54</f>
        <v>24</v>
      </c>
      <c r="S9" s="92" t="n">
        <f aca="false">MAX(0,S4-SUM(S5,R5,Q5))*Assumptions!$B$54</f>
        <v>26</v>
      </c>
      <c r="T9" s="92" t="n">
        <f aca="false">MAX(0,T4-SUM(T5,S5,R5))*Assumptions!$B$54</f>
        <v>28</v>
      </c>
      <c r="U9" s="92" t="n">
        <f aca="false">MAX(0,U4-SUM(U5,T5,S5))*Assumptions!$B$54</f>
        <v>30</v>
      </c>
      <c r="V9" s="92" t="n">
        <f aca="false">MAX(0,V4-SUM(V5,U5,T5))*Assumptions!$B$54</f>
        <v>31</v>
      </c>
      <c r="W9" s="92" t="n">
        <f aca="false">MAX(0,W4-SUM(W5,V5,U5))*Assumptions!$B$54</f>
        <v>31</v>
      </c>
      <c r="X9" s="92" t="n">
        <f aca="false">MAX(0,X4-SUM(X5,W5,V5))*Assumptions!$B$54</f>
        <v>31</v>
      </c>
      <c r="Y9" s="92" t="n">
        <f aca="false">MAX(0,Y4-SUM(Y5,X5,W5))*Assumptions!$B$54</f>
        <v>32</v>
      </c>
    </row>
    <row r="10" customFormat="false" ht="15" hidden="false" customHeight="false" outlineLevel="0" collapsed="false">
      <c r="A10" s="91" t="s">
        <v>283</v>
      </c>
      <c r="B10" s="92" t="n">
        <f aca="false">SUM(B6:B9)</f>
        <v>0.5</v>
      </c>
      <c r="C10" s="92" t="n">
        <f aca="false">SUM(C6:C9)</f>
        <v>1.25</v>
      </c>
      <c r="D10" s="92" t="n">
        <f aca="false">SUM(D6:D9)</f>
        <v>2.25</v>
      </c>
      <c r="E10" s="92" t="n">
        <f aca="false">SUM(E6:E9)</f>
        <v>3.75</v>
      </c>
      <c r="F10" s="92" t="n">
        <f aca="false">SUM(F6:F9)</f>
        <v>5</v>
      </c>
      <c r="G10" s="92" t="n">
        <f aca="false">SUM(G6:G9)</f>
        <v>6.25</v>
      </c>
      <c r="H10" s="92" t="n">
        <f aca="false">SUM(H6:H9)</f>
        <v>7.75</v>
      </c>
      <c r="I10" s="92" t="n">
        <f aca="false">SUM(I6:I9)</f>
        <v>9.25</v>
      </c>
      <c r="J10" s="92" t="n">
        <f aca="false">SUM(J6:J9)</f>
        <v>11</v>
      </c>
      <c r="K10" s="92" t="n">
        <f aca="false">SUM(K6:K9)</f>
        <v>13</v>
      </c>
      <c r="L10" s="92" t="n">
        <f aca="false">SUM(L6:L9)</f>
        <v>15</v>
      </c>
      <c r="M10" s="92" t="n">
        <f aca="false">SUM(M6:M9)</f>
        <v>17</v>
      </c>
      <c r="N10" s="92" t="n">
        <f aca="false">SUM(N6:N9)</f>
        <v>19</v>
      </c>
      <c r="O10" s="92" t="n">
        <f aca="false">SUM(O6:O9)</f>
        <v>21</v>
      </c>
      <c r="P10" s="92" t="n">
        <f aca="false">SUM(P6:P9)</f>
        <v>23</v>
      </c>
      <c r="Q10" s="92" t="n">
        <f aca="false">SUM(Q6:Q9)</f>
        <v>25</v>
      </c>
      <c r="R10" s="92" t="n">
        <f aca="false">SUM(R6:R9)</f>
        <v>27</v>
      </c>
      <c r="S10" s="92" t="n">
        <f aca="false">SUM(S6:S9)</f>
        <v>28.75</v>
      </c>
      <c r="T10" s="92" t="n">
        <f aca="false">SUM(T6:T9)</f>
        <v>30</v>
      </c>
      <c r="U10" s="92" t="n">
        <f aca="false">SUM(U6:U9)</f>
        <v>30.75</v>
      </c>
      <c r="V10" s="92" t="n">
        <f aca="false">SUM(V6:V9)</f>
        <v>31.25</v>
      </c>
      <c r="W10" s="92" t="n">
        <f aca="false">SUM(W6:W9)</f>
        <v>31.5</v>
      </c>
      <c r="X10" s="92" t="n">
        <f aca="false">SUM(X6:X9)</f>
        <v>31.75</v>
      </c>
      <c r="Y10" s="92" t="n">
        <f aca="false">SUM(Y6:Y9)</f>
        <v>32</v>
      </c>
    </row>
    <row r="11" customFormat="false" ht="15" hidden="false" customHeight="false" outlineLevel="0" collapsed="false">
      <c r="A11" s="91" t="s">
        <v>284</v>
      </c>
      <c r="B11" s="92" t="n">
        <f aca="false">Assumptions!$B$50</f>
        <v>20</v>
      </c>
      <c r="C11" s="92" t="n">
        <f aca="false">Assumptions!$B$50</f>
        <v>20</v>
      </c>
      <c r="D11" s="92" t="n">
        <f aca="false">Assumptions!$B$50</f>
        <v>20</v>
      </c>
      <c r="E11" s="92" t="n">
        <f aca="false">Assumptions!$B$50</f>
        <v>20</v>
      </c>
      <c r="F11" s="92" t="n">
        <f aca="false">Assumptions!$B$50</f>
        <v>20</v>
      </c>
      <c r="G11" s="92" t="n">
        <f aca="false">Assumptions!$B$50</f>
        <v>20</v>
      </c>
      <c r="H11" s="92" t="n">
        <f aca="false">Assumptions!$B$50</f>
        <v>20</v>
      </c>
      <c r="I11" s="92" t="n">
        <f aca="false">Assumptions!$B$50</f>
        <v>20</v>
      </c>
      <c r="J11" s="92" t="n">
        <f aca="false">Assumptions!$B$50</f>
        <v>20</v>
      </c>
      <c r="K11" s="92" t="n">
        <f aca="false">Assumptions!$B$50</f>
        <v>20</v>
      </c>
      <c r="L11" s="92" t="n">
        <f aca="false">Assumptions!$B$50</f>
        <v>20</v>
      </c>
      <c r="M11" s="92" t="n">
        <f aca="false">Assumptions!$B$50</f>
        <v>20</v>
      </c>
      <c r="N11" s="92" t="n">
        <f aca="false">Assumptions!$B$50</f>
        <v>20</v>
      </c>
      <c r="O11" s="92" t="n">
        <f aca="false">Assumptions!$B$50</f>
        <v>20</v>
      </c>
      <c r="P11" s="92" t="n">
        <f aca="false">Assumptions!$B$50</f>
        <v>20</v>
      </c>
      <c r="Q11" s="92" t="n">
        <f aca="false">Assumptions!$B$50</f>
        <v>20</v>
      </c>
      <c r="R11" s="92" t="n">
        <f aca="false">Assumptions!$B$50</f>
        <v>20</v>
      </c>
      <c r="S11" s="92" t="n">
        <f aca="false">Assumptions!$B$50</f>
        <v>20</v>
      </c>
      <c r="T11" s="92" t="n">
        <f aca="false">Assumptions!$B$50</f>
        <v>20</v>
      </c>
      <c r="U11" s="92" t="n">
        <f aca="false">Assumptions!$B$50</f>
        <v>20</v>
      </c>
      <c r="V11" s="92" t="n">
        <f aca="false">Assumptions!$B$50</f>
        <v>20</v>
      </c>
      <c r="W11" s="92" t="n">
        <f aca="false">Assumptions!$B$50</f>
        <v>20</v>
      </c>
      <c r="X11" s="92" t="n">
        <f aca="false">Assumptions!$B$50</f>
        <v>20</v>
      </c>
      <c r="Y11" s="92" t="n">
        <f aca="false">Assumptions!$B$50</f>
        <v>20</v>
      </c>
    </row>
    <row r="12" customFormat="false" ht="15" hidden="false" customHeight="false" outlineLevel="0" collapsed="false">
      <c r="A12" s="91" t="s">
        <v>285</v>
      </c>
      <c r="B12" s="92" t="n">
        <f aca="false">B10*B11</f>
        <v>10</v>
      </c>
      <c r="C12" s="92" t="n">
        <f aca="false">C10*C11</f>
        <v>25</v>
      </c>
      <c r="D12" s="92" t="n">
        <f aca="false">D10*D11</f>
        <v>45</v>
      </c>
      <c r="E12" s="92" t="n">
        <f aca="false">E10*E11</f>
        <v>75</v>
      </c>
      <c r="F12" s="92" t="n">
        <f aca="false">F10*F11</f>
        <v>100</v>
      </c>
      <c r="G12" s="92" t="n">
        <f aca="false">G10*G11</f>
        <v>125</v>
      </c>
      <c r="H12" s="92" t="n">
        <f aca="false">H10*H11</f>
        <v>155</v>
      </c>
      <c r="I12" s="92" t="n">
        <f aca="false">I10*I11</f>
        <v>185</v>
      </c>
      <c r="J12" s="92" t="n">
        <f aca="false">J10*J11</f>
        <v>220</v>
      </c>
      <c r="K12" s="92" t="n">
        <f aca="false">K10*K11</f>
        <v>260</v>
      </c>
      <c r="L12" s="92" t="n">
        <f aca="false">L10*L11</f>
        <v>300</v>
      </c>
      <c r="M12" s="92" t="n">
        <f aca="false">M10*M11</f>
        <v>340</v>
      </c>
      <c r="N12" s="92" t="n">
        <f aca="false">N10*N11</f>
        <v>380</v>
      </c>
      <c r="O12" s="92" t="n">
        <f aca="false">O10*O11</f>
        <v>420</v>
      </c>
      <c r="P12" s="92" t="n">
        <f aca="false">P10*P11</f>
        <v>460</v>
      </c>
      <c r="Q12" s="92" t="n">
        <f aca="false">Q10*Q11</f>
        <v>500</v>
      </c>
      <c r="R12" s="92" t="n">
        <f aca="false">R10*R11</f>
        <v>540</v>
      </c>
      <c r="S12" s="92" t="n">
        <f aca="false">S10*S11</f>
        <v>575</v>
      </c>
      <c r="T12" s="92" t="n">
        <f aca="false">T10*T11</f>
        <v>600</v>
      </c>
      <c r="U12" s="92" t="n">
        <f aca="false">U10*U11</f>
        <v>615</v>
      </c>
      <c r="V12" s="92" t="n">
        <f aca="false">V10*V11</f>
        <v>625</v>
      </c>
      <c r="W12" s="92" t="n">
        <f aca="false">W10*W11</f>
        <v>630</v>
      </c>
      <c r="X12" s="92" t="n">
        <f aca="false">X10*X11</f>
        <v>635</v>
      </c>
      <c r="Y12" s="92" t="n">
        <f aca="false">Y10*Y11</f>
        <v>640</v>
      </c>
    </row>
    <row r="13" customFormat="false" ht="15" hidden="false" customHeight="false" outlineLevel="0" collapsed="false">
      <c r="A13" s="91" t="s">
        <v>286</v>
      </c>
      <c r="B13" s="93" t="n">
        <v>3000</v>
      </c>
      <c r="C13" s="93" t="n">
        <v>8000</v>
      </c>
      <c r="D13" s="93" t="n">
        <v>13000</v>
      </c>
      <c r="E13" s="93" t="n">
        <v>19000</v>
      </c>
      <c r="F13" s="93" t="n">
        <v>24000</v>
      </c>
      <c r="G13" s="93" t="n">
        <v>32000</v>
      </c>
      <c r="H13" s="93" t="n">
        <v>49000</v>
      </c>
      <c r="I13" s="93" t="n">
        <v>73000</v>
      </c>
      <c r="J13" s="93" t="n">
        <v>96000</v>
      </c>
      <c r="K13" s="93" t="n">
        <v>125000</v>
      </c>
      <c r="L13" s="93" t="n">
        <v>154000</v>
      </c>
      <c r="M13" s="93" t="n">
        <v>198000</v>
      </c>
      <c r="N13" s="93" t="n">
        <v>244000</v>
      </c>
      <c r="O13" s="93" t="n">
        <v>286000</v>
      </c>
      <c r="P13" s="93" t="n">
        <v>328000</v>
      </c>
      <c r="Q13" s="93" t="n">
        <v>370000</v>
      </c>
      <c r="R13" s="93" t="n">
        <v>405000</v>
      </c>
      <c r="S13" s="93" t="n">
        <v>435000</v>
      </c>
      <c r="T13" s="93" t="n">
        <v>452000</v>
      </c>
      <c r="U13" s="93" t="n">
        <v>461000</v>
      </c>
      <c r="V13" s="93" t="n">
        <v>471000</v>
      </c>
      <c r="W13" s="93" t="n">
        <v>480000</v>
      </c>
      <c r="X13" s="93" t="n">
        <v>489000</v>
      </c>
      <c r="Y13" s="93" t="n">
        <v>490000</v>
      </c>
    </row>
    <row r="14" customFormat="false" ht="15" hidden="false" customHeight="false" outlineLevel="0" collapsed="false">
      <c r="A14" s="91" t="s">
        <v>287</v>
      </c>
      <c r="B14" s="92" t="n">
        <f aca="false">B13/Assumptions!$B$43</f>
        <v>3</v>
      </c>
      <c r="C14" s="92" t="n">
        <f aca="false">C13/Assumptions!$B$43</f>
        <v>8</v>
      </c>
      <c r="D14" s="92" t="n">
        <f aca="false">D13/Assumptions!$B$43</f>
        <v>13</v>
      </c>
      <c r="E14" s="92" t="n">
        <f aca="false">E13/Assumptions!$B$43</f>
        <v>19</v>
      </c>
      <c r="F14" s="92" t="n">
        <f aca="false">F13/Assumptions!$B$43</f>
        <v>24</v>
      </c>
      <c r="G14" s="92" t="n">
        <f aca="false">G13/Assumptions!$B$43</f>
        <v>32</v>
      </c>
      <c r="H14" s="92" t="n">
        <f aca="false">H13/Assumptions!$B$43</f>
        <v>49</v>
      </c>
      <c r="I14" s="92" t="n">
        <f aca="false">I13/Assumptions!$B$43</f>
        <v>73</v>
      </c>
      <c r="J14" s="92" t="n">
        <f aca="false">J13/Assumptions!$B$43</f>
        <v>96</v>
      </c>
      <c r="K14" s="92" t="n">
        <f aca="false">K13/Assumptions!$B$43</f>
        <v>125</v>
      </c>
      <c r="L14" s="92" t="n">
        <f aca="false">L13/Assumptions!$B$43</f>
        <v>154</v>
      </c>
      <c r="M14" s="92" t="n">
        <f aca="false">M13/Assumptions!$B$43</f>
        <v>198</v>
      </c>
      <c r="N14" s="92" t="n">
        <f aca="false">N13/Assumptions!$B$43</f>
        <v>244</v>
      </c>
      <c r="O14" s="92" t="n">
        <f aca="false">O13/Assumptions!$B$43</f>
        <v>286</v>
      </c>
      <c r="P14" s="92" t="n">
        <f aca="false">P13/Assumptions!$B$43</f>
        <v>328</v>
      </c>
      <c r="Q14" s="92" t="n">
        <f aca="false">Q13/Assumptions!$B$43</f>
        <v>370</v>
      </c>
      <c r="R14" s="92" t="n">
        <f aca="false">R13/Assumptions!$B$43</f>
        <v>405</v>
      </c>
      <c r="S14" s="92" t="n">
        <f aca="false">S13/Assumptions!$B$43</f>
        <v>435</v>
      </c>
      <c r="T14" s="92" t="n">
        <f aca="false">T13/Assumptions!$B$43</f>
        <v>452</v>
      </c>
      <c r="U14" s="92" t="n">
        <f aca="false">U13/Assumptions!$B$43</f>
        <v>461</v>
      </c>
      <c r="V14" s="92" t="n">
        <f aca="false">V13/Assumptions!$B$43</f>
        <v>471</v>
      </c>
      <c r="W14" s="92" t="n">
        <f aca="false">W13/Assumptions!$B$43</f>
        <v>480</v>
      </c>
      <c r="X14" s="92" t="n">
        <f aca="false">X13/Assumptions!$B$43</f>
        <v>489</v>
      </c>
      <c r="Y14" s="92" t="n">
        <f aca="false">Y13/Assumptions!$B$43</f>
        <v>490</v>
      </c>
    </row>
    <row r="15" customFormat="false" ht="15" hidden="false" customHeight="false" outlineLevel="0" collapsed="false">
      <c r="A15" s="91" t="s">
        <v>288</v>
      </c>
      <c r="B15" s="92" t="n">
        <f aca="false">MIN(B12,B14)</f>
        <v>3</v>
      </c>
      <c r="C15" s="92" t="n">
        <f aca="false">MIN(C12,C14)</f>
        <v>8</v>
      </c>
      <c r="D15" s="92" t="n">
        <f aca="false">MIN(D12,D14)</f>
        <v>13</v>
      </c>
      <c r="E15" s="92" t="n">
        <f aca="false">MIN(E12,E14)</f>
        <v>19</v>
      </c>
      <c r="F15" s="92" t="n">
        <f aca="false">MIN(F12,F14)</f>
        <v>24</v>
      </c>
      <c r="G15" s="92" t="n">
        <f aca="false">MIN(G12,G14)</f>
        <v>32</v>
      </c>
      <c r="H15" s="92" t="n">
        <f aca="false">MIN(H12,H14)</f>
        <v>49</v>
      </c>
      <c r="I15" s="92" t="n">
        <f aca="false">MIN(I12,I14)</f>
        <v>73</v>
      </c>
      <c r="J15" s="92" t="n">
        <f aca="false">MIN(J12,J14)</f>
        <v>96</v>
      </c>
      <c r="K15" s="92" t="n">
        <f aca="false">MIN(K12,K14)</f>
        <v>125</v>
      </c>
      <c r="L15" s="92" t="n">
        <f aca="false">MIN(L12,L14)</f>
        <v>154</v>
      </c>
      <c r="M15" s="92" t="n">
        <f aca="false">MIN(M12,M14)</f>
        <v>198</v>
      </c>
      <c r="N15" s="92" t="n">
        <f aca="false">MIN(N12,N14)</f>
        <v>244</v>
      </c>
      <c r="O15" s="92" t="n">
        <f aca="false">MIN(O12,O14)</f>
        <v>286</v>
      </c>
      <c r="P15" s="92" t="n">
        <f aca="false">MIN(P12,P14)</f>
        <v>328</v>
      </c>
      <c r="Q15" s="92" t="n">
        <f aca="false">MIN(Q12,Q14)</f>
        <v>370</v>
      </c>
      <c r="R15" s="92" t="n">
        <f aca="false">MIN(R12,R14)</f>
        <v>405</v>
      </c>
      <c r="S15" s="92" t="n">
        <f aca="false">MIN(S12,S14)</f>
        <v>435</v>
      </c>
      <c r="T15" s="92" t="n">
        <f aca="false">MIN(T12,T14)</f>
        <v>452</v>
      </c>
      <c r="U15" s="92" t="n">
        <f aca="false">MIN(U12,U14)</f>
        <v>461</v>
      </c>
      <c r="V15" s="92" t="n">
        <f aca="false">MIN(V12,V14)</f>
        <v>471</v>
      </c>
      <c r="W15" s="92" t="n">
        <f aca="false">MIN(W12,W14)</f>
        <v>480</v>
      </c>
      <c r="X15" s="92" t="n">
        <f aca="false">MIN(X12,X14)</f>
        <v>489</v>
      </c>
      <c r="Y15" s="92" t="n">
        <f aca="false">MIN(Y12,Y14)</f>
        <v>490</v>
      </c>
    </row>
    <row r="16" customFormat="false" ht="15" hidden="false" customHeight="false" outlineLevel="0" collapsed="false">
      <c r="A16" s="91" t="s">
        <v>289</v>
      </c>
      <c r="B16" s="92" t="n">
        <f aca="false">IFERROR(B15/B4,0)</f>
        <v>1.5</v>
      </c>
      <c r="C16" s="92" t="n">
        <f aca="false">IFERROR(C15/C4,0)</f>
        <v>2.66666666666667</v>
      </c>
      <c r="D16" s="92" t="n">
        <f aca="false">IFERROR(D15/D4,0)</f>
        <v>3.25</v>
      </c>
      <c r="E16" s="92" t="n">
        <f aca="false">IFERROR(E15/E4,0)</f>
        <v>3.16666666666667</v>
      </c>
      <c r="F16" s="92" t="n">
        <f aca="false">IFERROR(F15/F4,0)</f>
        <v>3.42857142857143</v>
      </c>
      <c r="G16" s="92" t="n">
        <f aca="false">IFERROR(G15/G4,0)</f>
        <v>4</v>
      </c>
      <c r="H16" s="92" t="n">
        <f aca="false">IFERROR(H15/H4,0)</f>
        <v>4.9</v>
      </c>
      <c r="I16" s="92" t="n">
        <f aca="false">IFERROR(I15/I4,0)</f>
        <v>6.08333333333333</v>
      </c>
      <c r="J16" s="92" t="n">
        <f aca="false">IFERROR(J15/J4,0)</f>
        <v>6.85714285714286</v>
      </c>
      <c r="K16" s="92" t="n">
        <f aca="false">IFERROR(K15/K4,0)</f>
        <v>7.8125</v>
      </c>
      <c r="L16" s="92" t="n">
        <f aca="false">IFERROR(L15/L4,0)</f>
        <v>8.55555555555556</v>
      </c>
      <c r="M16" s="92" t="n">
        <f aca="false">IFERROR(M15/M4,0)</f>
        <v>9.9</v>
      </c>
      <c r="N16" s="92" t="n">
        <f aca="false">IFERROR(N15/N4,0)</f>
        <v>11.0909090909091</v>
      </c>
      <c r="O16" s="92" t="n">
        <f aca="false">IFERROR(O15/O4,0)</f>
        <v>11.9166666666667</v>
      </c>
      <c r="P16" s="92" t="n">
        <f aca="false">IFERROR(P15/P4,0)</f>
        <v>12.6153846153846</v>
      </c>
      <c r="Q16" s="92" t="n">
        <f aca="false">IFERROR(Q15/Q4,0)</f>
        <v>13.2142857142857</v>
      </c>
      <c r="R16" s="92" t="n">
        <f aca="false">IFERROR(R15/R4,0)</f>
        <v>13.5</v>
      </c>
      <c r="S16" s="92" t="n">
        <f aca="false">IFERROR(S15/S4,0)</f>
        <v>14.0322580645161</v>
      </c>
      <c r="T16" s="92" t="n">
        <f aca="false">IFERROR(T15/T4,0)</f>
        <v>14.5806451612903</v>
      </c>
      <c r="U16" s="92" t="n">
        <f aca="false">IFERROR(U15/U4,0)</f>
        <v>14.8709677419355</v>
      </c>
      <c r="V16" s="92" t="n">
        <f aca="false">IFERROR(V15/V4,0)</f>
        <v>14.71875</v>
      </c>
      <c r="W16" s="92" t="n">
        <f aca="false">IFERROR(W15/W4,0)</f>
        <v>15</v>
      </c>
      <c r="X16" s="92" t="n">
        <f aca="false">IFERROR(X15/X4,0)</f>
        <v>15.28125</v>
      </c>
      <c r="Y16" s="92" t="n">
        <f aca="false">IFERROR(Y15/Y4,0)</f>
        <v>15.3125</v>
      </c>
    </row>
    <row r="17" customFormat="false" ht="15" hidden="false" customHeight="false" outlineLevel="0" collapsed="false">
      <c r="A17" s="91" t="s">
        <v>290</v>
      </c>
      <c r="B17" s="94" t="n">
        <f aca="false">IFERROR(B15/B12,0)</f>
        <v>0.3</v>
      </c>
      <c r="C17" s="94" t="n">
        <f aca="false">IFERROR(C15/C12,0)</f>
        <v>0.32</v>
      </c>
      <c r="D17" s="94" t="n">
        <f aca="false">IFERROR(D15/D12,0)</f>
        <v>0.288888888888889</v>
      </c>
      <c r="E17" s="94" t="n">
        <f aca="false">IFERROR(E15/E12,0)</f>
        <v>0.253333333333333</v>
      </c>
      <c r="F17" s="94" t="n">
        <f aca="false">IFERROR(F15/F12,0)</f>
        <v>0.24</v>
      </c>
      <c r="G17" s="94" t="n">
        <f aca="false">IFERROR(G15/G12,0)</f>
        <v>0.256</v>
      </c>
      <c r="H17" s="94" t="n">
        <f aca="false">IFERROR(H15/H12,0)</f>
        <v>0.316129032258065</v>
      </c>
      <c r="I17" s="94" t="n">
        <f aca="false">IFERROR(I15/I12,0)</f>
        <v>0.394594594594595</v>
      </c>
      <c r="J17" s="94" t="n">
        <f aca="false">IFERROR(J15/J12,0)</f>
        <v>0.436363636363636</v>
      </c>
      <c r="K17" s="94" t="n">
        <f aca="false">IFERROR(K15/K12,0)</f>
        <v>0.480769230769231</v>
      </c>
      <c r="L17" s="94" t="n">
        <f aca="false">IFERROR(L15/L12,0)</f>
        <v>0.513333333333333</v>
      </c>
      <c r="M17" s="94" t="n">
        <f aca="false">IFERROR(M15/M12,0)</f>
        <v>0.582352941176471</v>
      </c>
      <c r="N17" s="94" t="n">
        <f aca="false">IFERROR(N15/N12,0)</f>
        <v>0.642105263157895</v>
      </c>
      <c r="O17" s="94" t="n">
        <f aca="false">IFERROR(O15/O12,0)</f>
        <v>0.680952380952381</v>
      </c>
      <c r="P17" s="94" t="n">
        <f aca="false">IFERROR(P15/P12,0)</f>
        <v>0.71304347826087</v>
      </c>
      <c r="Q17" s="94" t="n">
        <f aca="false">IFERROR(Q15/Q12,0)</f>
        <v>0.74</v>
      </c>
      <c r="R17" s="94" t="n">
        <f aca="false">IFERROR(R15/R12,0)</f>
        <v>0.75</v>
      </c>
      <c r="S17" s="94" t="n">
        <f aca="false">IFERROR(S15/S12,0)</f>
        <v>0.756521739130435</v>
      </c>
      <c r="T17" s="94" t="n">
        <f aca="false">IFERROR(T15/T12,0)</f>
        <v>0.753333333333333</v>
      </c>
      <c r="U17" s="94" t="n">
        <f aca="false">IFERROR(U15/U12,0)</f>
        <v>0.749593495934959</v>
      </c>
      <c r="V17" s="94" t="n">
        <f aca="false">IFERROR(V15/V12,0)</f>
        <v>0.7536</v>
      </c>
      <c r="W17" s="94" t="n">
        <f aca="false">IFERROR(W15/W12,0)</f>
        <v>0.761904761904762</v>
      </c>
      <c r="X17" s="94" t="n">
        <f aca="false">IFERROR(X15/X12,0)</f>
        <v>0.77007874015748</v>
      </c>
      <c r="Y17" s="94" t="n">
        <f aca="false">IFERROR(Y15/Y12,0)</f>
        <v>0.765625</v>
      </c>
    </row>
    <row r="18" customFormat="false" ht="15" hidden="false" customHeight="false" outlineLevel="0" collapsed="false">
      <c r="A18" s="91" t="s">
        <v>291</v>
      </c>
      <c r="B18" s="94"/>
      <c r="C18" s="94" t="n">
        <f aca="false">IFERROR(C15/B15-1,0)</f>
        <v>1.66666666666667</v>
      </c>
      <c r="D18" s="94" t="n">
        <f aca="false">IFERROR(D15/C15-1,0)</f>
        <v>0.625</v>
      </c>
      <c r="E18" s="94" t="n">
        <f aca="false">IFERROR(E15/D15-1,0)</f>
        <v>0.461538461538461</v>
      </c>
      <c r="F18" s="94" t="n">
        <f aca="false">IFERROR(F15/E15-1,0)</f>
        <v>0.263157894736842</v>
      </c>
      <c r="G18" s="94" t="n">
        <f aca="false">IFERROR(G15/F15-1,0)</f>
        <v>0.333333333333333</v>
      </c>
      <c r="H18" s="94" t="n">
        <f aca="false">IFERROR(H15/G15-1,0)</f>
        <v>0.53125</v>
      </c>
      <c r="I18" s="94" t="n">
        <f aca="false">IFERROR(I15/H15-1,0)</f>
        <v>0.489795918367347</v>
      </c>
      <c r="J18" s="94" t="n">
        <f aca="false">IFERROR(J15/I15-1,0)</f>
        <v>0.315068493150685</v>
      </c>
      <c r="K18" s="94" t="n">
        <f aca="false">IFERROR(K15/J15-1,0)</f>
        <v>0.302083333333333</v>
      </c>
      <c r="L18" s="94" t="n">
        <f aca="false">IFERROR(L15/K15-1,0)</f>
        <v>0.232</v>
      </c>
      <c r="M18" s="94" t="n">
        <f aca="false">IFERROR(M15/L15-1,0)</f>
        <v>0.285714285714286</v>
      </c>
      <c r="N18" s="94" t="n">
        <f aca="false">IFERROR(N15/M15-1,0)</f>
        <v>0.232323232323232</v>
      </c>
      <c r="O18" s="94" t="n">
        <f aca="false">IFERROR(O15/N15-1,0)</f>
        <v>0.172131147540984</v>
      </c>
      <c r="P18" s="94" t="n">
        <f aca="false">IFERROR(P15/O15-1,0)</f>
        <v>0.146853146853147</v>
      </c>
      <c r="Q18" s="94" t="n">
        <f aca="false">IFERROR(Q15/P15-1,0)</f>
        <v>0.128048780487805</v>
      </c>
      <c r="R18" s="94" t="n">
        <f aca="false">IFERROR(R15/Q15-1,0)</f>
        <v>0.0945945945945945</v>
      </c>
      <c r="S18" s="94" t="n">
        <f aca="false">IFERROR(S15/R15-1,0)</f>
        <v>0.0740740740740742</v>
      </c>
      <c r="T18" s="94" t="n">
        <f aca="false">IFERROR(T15/S15-1,0)</f>
        <v>0.0390804597701149</v>
      </c>
      <c r="U18" s="94" t="n">
        <f aca="false">IFERROR(U15/T15-1,0)</f>
        <v>0.0199115044247788</v>
      </c>
      <c r="V18" s="94" t="n">
        <f aca="false">IFERROR(V15/U15-1,0)</f>
        <v>0.0216919739696313</v>
      </c>
      <c r="W18" s="94" t="n">
        <f aca="false">IFERROR(W15/V15-1,0)</f>
        <v>0.0191082802547771</v>
      </c>
      <c r="X18" s="94" t="n">
        <f aca="false">IFERROR(X15/W15-1,0)</f>
        <v>0.01875</v>
      </c>
      <c r="Y18" s="94" t="n">
        <f aca="false">IFERROR(Y15/X15-1,0)</f>
        <v>0.00204498977505119</v>
      </c>
    </row>
    <row r="19" customFormat="false" ht="15" hidden="false" customHeight="false" outlineLevel="0" collapsed="false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</row>
    <row r="20" customFormat="false" ht="15" hidden="false" customHeight="false" outlineLevel="0" collapsed="false">
      <c r="A20" s="91" t="s">
        <v>292</v>
      </c>
      <c r="B20" s="96" t="n">
        <f aca="false">'Monthly P&amp;L'!B6</f>
        <v>2</v>
      </c>
      <c r="C20" s="96" t="n">
        <f aca="false">'Monthly P&amp;L'!C6</f>
        <v>2.4</v>
      </c>
      <c r="D20" s="96" t="n">
        <f aca="false">'Monthly P&amp;L'!D6</f>
        <v>2.9</v>
      </c>
      <c r="E20" s="96" t="n">
        <f aca="false">'Monthly P&amp;L'!E6</f>
        <v>3.3</v>
      </c>
      <c r="F20" s="96" t="n">
        <f aca="false">'Monthly P&amp;L'!F6</f>
        <v>3.7</v>
      </c>
      <c r="G20" s="96" t="n">
        <f aca="false">'Monthly P&amp;L'!G6</f>
        <v>4.2</v>
      </c>
      <c r="H20" s="96" t="n">
        <f aca="false">'Monthly P&amp;L'!H6</f>
        <v>4.6</v>
      </c>
      <c r="I20" s="96" t="n">
        <f aca="false">'Monthly P&amp;L'!I6</f>
        <v>5</v>
      </c>
      <c r="J20" s="96" t="n">
        <f aca="false">'Monthly P&amp;L'!J6</f>
        <v>5.5</v>
      </c>
      <c r="K20" s="96" t="n">
        <f aca="false">'Monthly P&amp;L'!K6</f>
        <v>5.9</v>
      </c>
      <c r="L20" s="96" t="n">
        <f aca="false">'Monthly P&amp;L'!L6</f>
        <v>6.3</v>
      </c>
      <c r="M20" s="96" t="n">
        <f aca="false">'Monthly P&amp;L'!M6</f>
        <v>6.8</v>
      </c>
      <c r="N20" s="96" t="n">
        <f aca="false">'Monthly P&amp;L'!N6</f>
        <v>7.2</v>
      </c>
      <c r="O20" s="96" t="n">
        <f aca="false">'Monthly P&amp;L'!O6</f>
        <v>7.7</v>
      </c>
      <c r="P20" s="96" t="n">
        <f aca="false">'Monthly P&amp;L'!P6</f>
        <v>8.1</v>
      </c>
      <c r="Q20" s="96" t="n">
        <f aca="false">'Monthly P&amp;L'!Q6</f>
        <v>8.5</v>
      </c>
      <c r="R20" s="96" t="n">
        <f aca="false">'Monthly P&amp;L'!R6</f>
        <v>9</v>
      </c>
      <c r="S20" s="96" t="n">
        <f aca="false">'Monthly P&amp;L'!S6</f>
        <v>9.4</v>
      </c>
      <c r="T20" s="96" t="n">
        <f aca="false">'Monthly P&amp;L'!T6</f>
        <v>9.8</v>
      </c>
      <c r="U20" s="96" t="n">
        <f aca="false">'Monthly P&amp;L'!U6</f>
        <v>10.3</v>
      </c>
      <c r="V20" s="96" t="n">
        <f aca="false">'Monthly P&amp;L'!V6</f>
        <v>10.7</v>
      </c>
      <c r="W20" s="96" t="n">
        <f aca="false">'Monthly P&amp;L'!W6</f>
        <v>11.1</v>
      </c>
      <c r="X20" s="96" t="n">
        <f aca="false">'Monthly P&amp;L'!X6</f>
        <v>11.6</v>
      </c>
      <c r="Y20" s="96" t="n">
        <f aca="false">'Monthly P&amp;L'!Y6</f>
        <v>12</v>
      </c>
    </row>
    <row r="21" customFormat="false" ht="15" hidden="false" customHeight="false" outlineLevel="0" collapsed="false">
      <c r="A21" s="91" t="s">
        <v>293</v>
      </c>
      <c r="B21" s="96" t="n">
        <f aca="false">'Monthly P&amp;L'!B7</f>
        <v>4</v>
      </c>
      <c r="C21" s="96" t="n">
        <f aca="false">'Monthly P&amp;L'!C7</f>
        <v>6</v>
      </c>
      <c r="D21" s="96" t="n">
        <f aca="false">'Monthly P&amp;L'!D7</f>
        <v>8</v>
      </c>
      <c r="E21" s="96" t="n">
        <f aca="false">'Monthly P&amp;L'!E7</f>
        <v>10</v>
      </c>
      <c r="F21" s="96" t="n">
        <f aca="false">'Monthly P&amp;L'!F7</f>
        <v>12</v>
      </c>
      <c r="G21" s="96" t="n">
        <f aca="false">'Monthly P&amp;L'!G7</f>
        <v>14</v>
      </c>
      <c r="H21" s="96" t="n">
        <f aca="false">'Monthly P&amp;L'!H7</f>
        <v>16</v>
      </c>
      <c r="I21" s="96" t="n">
        <f aca="false">'Monthly P&amp;L'!I7</f>
        <v>18</v>
      </c>
      <c r="J21" s="96" t="n">
        <f aca="false">'Monthly P&amp;L'!J7</f>
        <v>20</v>
      </c>
      <c r="K21" s="96" t="n">
        <f aca="false">'Monthly P&amp;L'!K7</f>
        <v>22</v>
      </c>
      <c r="L21" s="96" t="n">
        <f aca="false">'Monthly P&amp;L'!L7</f>
        <v>24</v>
      </c>
      <c r="M21" s="96" t="n">
        <f aca="false">'Monthly P&amp;L'!M7</f>
        <v>26</v>
      </c>
      <c r="N21" s="96" t="n">
        <f aca="false">'Monthly P&amp;L'!N7</f>
        <v>28</v>
      </c>
      <c r="O21" s="96" t="n">
        <f aca="false">'Monthly P&amp;L'!O7</f>
        <v>30</v>
      </c>
      <c r="P21" s="96" t="n">
        <f aca="false">'Monthly P&amp;L'!P7</f>
        <v>32</v>
      </c>
      <c r="Q21" s="96" t="n">
        <f aca="false">'Monthly P&amp;L'!Q7</f>
        <v>34</v>
      </c>
      <c r="R21" s="96" t="n">
        <f aca="false">'Monthly P&amp;L'!R7</f>
        <v>36</v>
      </c>
      <c r="S21" s="96" t="n">
        <f aca="false">'Monthly P&amp;L'!S7</f>
        <v>38</v>
      </c>
      <c r="T21" s="96" t="n">
        <f aca="false">'Monthly P&amp;L'!T7</f>
        <v>40</v>
      </c>
      <c r="U21" s="96" t="n">
        <f aca="false">'Monthly P&amp;L'!U7</f>
        <v>42</v>
      </c>
      <c r="V21" s="96" t="n">
        <f aca="false">'Monthly P&amp;L'!V7</f>
        <v>44</v>
      </c>
      <c r="W21" s="96" t="n">
        <f aca="false">'Monthly P&amp;L'!W7</f>
        <v>46</v>
      </c>
      <c r="X21" s="96" t="n">
        <f aca="false">'Monthly P&amp;L'!X7</f>
        <v>48</v>
      </c>
      <c r="Y21" s="96" t="n">
        <f aca="false">'Monthly P&amp;L'!Y7</f>
        <v>50</v>
      </c>
    </row>
    <row r="22" customFormat="false" ht="15" hidden="false" customHeight="false" outlineLevel="0" collapsed="false">
      <c r="A22" s="97" t="s">
        <v>294</v>
      </c>
      <c r="B22" s="98" t="n">
        <f aca="false">(B20*Assumptions!$B$20+B21*Assumptions!$B$21)/Assumptions!$B$10</f>
        <v>10384.6153846154</v>
      </c>
      <c r="C22" s="98" t="n">
        <f aca="false">(C20*Assumptions!$B$20+C21*Assumptions!$B$21)/Assumptions!$B$10</f>
        <v>12692.3076923077</v>
      </c>
      <c r="D22" s="98" t="n">
        <f aca="false">(D20*Assumptions!$B$20+D21*Assumptions!$B$21)/Assumptions!$B$10</f>
        <v>15480.7692307692</v>
      </c>
      <c r="E22" s="98" t="n">
        <f aca="false">(E20*Assumptions!$B$20+E21*Assumptions!$B$21)/Assumptions!$B$10</f>
        <v>17788.4615384615</v>
      </c>
      <c r="F22" s="98" t="n">
        <f aca="false">(F20*Assumptions!$B$20+F21*Assumptions!$B$21)/Assumptions!$B$10</f>
        <v>20096.1538461538</v>
      </c>
      <c r="G22" s="98" t="n">
        <f aca="false">(G20*Assumptions!$B$20+G21*Assumptions!$B$21)/Assumptions!$B$10</f>
        <v>22884.6153846154</v>
      </c>
      <c r="H22" s="98" t="n">
        <f aca="false">(H20*Assumptions!$B$20+H21*Assumptions!$B$21)/Assumptions!$B$10</f>
        <v>25192.3076923077</v>
      </c>
      <c r="I22" s="98" t="n">
        <f aca="false">(I20*Assumptions!$B$20+I21*Assumptions!$B$21)/Assumptions!$B$10</f>
        <v>27500</v>
      </c>
      <c r="J22" s="98" t="n">
        <f aca="false">(J20*Assumptions!$B$20+J21*Assumptions!$B$21)/Assumptions!$B$10</f>
        <v>30288.4615384615</v>
      </c>
      <c r="K22" s="98" t="n">
        <f aca="false">(K20*Assumptions!$B$20+K21*Assumptions!$B$21)/Assumptions!$B$10</f>
        <v>32596.1538461538</v>
      </c>
      <c r="L22" s="98" t="n">
        <f aca="false">(L20*Assumptions!$B$20+L21*Assumptions!$B$21)/Assumptions!$B$10</f>
        <v>34903.8461538462</v>
      </c>
      <c r="M22" s="98" t="n">
        <f aca="false">(M20*Assumptions!$B$20+M21*Assumptions!$B$21)/Assumptions!$B$10</f>
        <v>37692.3076923077</v>
      </c>
      <c r="N22" s="98" t="n">
        <f aca="false">(N20*Assumptions!$B$20+N21*Assumptions!$B$21)/Assumptions!$B$10</f>
        <v>40000</v>
      </c>
      <c r="O22" s="98" t="n">
        <f aca="false">(O20*Assumptions!$B$20+O21*Assumptions!$B$21)/Assumptions!$B$10</f>
        <v>42788.4615384615</v>
      </c>
      <c r="P22" s="98" t="n">
        <f aca="false">(P20*Assumptions!$B$20+P21*Assumptions!$B$21)/Assumptions!$B$10</f>
        <v>45096.1538461538</v>
      </c>
      <c r="Q22" s="98" t="n">
        <f aca="false">(Q20*Assumptions!$B$20+Q21*Assumptions!$B$21)/Assumptions!$B$10</f>
        <v>47403.8461538462</v>
      </c>
      <c r="R22" s="98" t="n">
        <f aca="false">(R20*Assumptions!$B$20+R21*Assumptions!$B$21)/Assumptions!$B$10</f>
        <v>50192.3076923077</v>
      </c>
      <c r="S22" s="98" t="n">
        <f aca="false">(S20*Assumptions!$B$20+S21*Assumptions!$B$21)/Assumptions!$B$10</f>
        <v>52500</v>
      </c>
      <c r="T22" s="98" t="n">
        <f aca="false">(T20*Assumptions!$B$20+T21*Assumptions!$B$21)/Assumptions!$B$10</f>
        <v>54807.6923076923</v>
      </c>
      <c r="U22" s="98" t="n">
        <f aca="false">(U20*Assumptions!$B$20+U21*Assumptions!$B$21)/Assumptions!$B$10</f>
        <v>57596.1538461538</v>
      </c>
      <c r="V22" s="98" t="n">
        <f aca="false">(V20*Assumptions!$B$20+V21*Assumptions!$B$21)/Assumptions!$B$10</f>
        <v>59903.8461538462</v>
      </c>
      <c r="W22" s="98" t="n">
        <f aca="false">(W20*Assumptions!$B$20+W21*Assumptions!$B$21)/Assumptions!$B$10</f>
        <v>62211.5384615385</v>
      </c>
      <c r="X22" s="98" t="n">
        <f aca="false">(X20*Assumptions!$B$20+X21*Assumptions!$B$21)/Assumptions!$B$10</f>
        <v>65000</v>
      </c>
      <c r="Y22" s="98" t="n">
        <f aca="false">(Y20*Assumptions!$B$20+Y21*Assumptions!$B$21)/Assumptions!$B$10</f>
        <v>67307.6923076923</v>
      </c>
    </row>
    <row r="24" customFormat="false" ht="15" hidden="false" customHeight="true" outlineLevel="0" collapsed="false">
      <c r="A24" s="99" t="s">
        <v>295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</row>
  </sheetData>
  <mergeCells count="3">
    <mergeCell ref="A1:Y1"/>
    <mergeCell ref="A2:Y2"/>
    <mergeCell ref="A24:Y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5" min="2" style="0" width="13"/>
  </cols>
  <sheetData>
    <row r="1" customFormat="false" ht="30" hidden="false" customHeight="true" outlineLevel="0" collapsed="false">
      <c r="A1" s="87" t="s">
        <v>296</v>
      </c>
      <c r="B1" s="87" t="s">
        <v>296</v>
      </c>
      <c r="C1" s="87" t="s">
        <v>296</v>
      </c>
      <c r="D1" s="87" t="s">
        <v>296</v>
      </c>
      <c r="E1" s="87" t="s">
        <v>296</v>
      </c>
      <c r="F1" s="87" t="s">
        <v>296</v>
      </c>
      <c r="G1" s="87" t="s">
        <v>296</v>
      </c>
      <c r="H1" s="87" t="s">
        <v>296</v>
      </c>
      <c r="I1" s="87" t="s">
        <v>296</v>
      </c>
      <c r="J1" s="87" t="s">
        <v>296</v>
      </c>
      <c r="K1" s="87" t="s">
        <v>296</v>
      </c>
      <c r="L1" s="87" t="s">
        <v>296</v>
      </c>
      <c r="M1" s="87" t="s">
        <v>296</v>
      </c>
      <c r="N1" s="87" t="s">
        <v>296</v>
      </c>
      <c r="O1" s="87" t="s">
        <v>296</v>
      </c>
      <c r="P1" s="87" t="s">
        <v>296</v>
      </c>
      <c r="Q1" s="87" t="s">
        <v>296</v>
      </c>
      <c r="R1" s="87" t="s">
        <v>296</v>
      </c>
      <c r="S1" s="87" t="s">
        <v>296</v>
      </c>
      <c r="T1" s="87" t="s">
        <v>296</v>
      </c>
      <c r="U1" s="87" t="s">
        <v>296</v>
      </c>
      <c r="V1" s="87" t="s">
        <v>296</v>
      </c>
      <c r="W1" s="87" t="s">
        <v>296</v>
      </c>
      <c r="X1" s="87" t="s">
        <v>296</v>
      </c>
      <c r="Y1" s="87" t="s">
        <v>296</v>
      </c>
    </row>
    <row r="2" customFormat="false" ht="15" hidden="false" customHeight="true" outlineLevel="0" collapsed="false">
      <c r="A2" s="88" t="s">
        <v>297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customFormat="false" ht="15" hidden="false" customHeight="false" outlineLevel="0" collapsed="false">
      <c r="A3" s="10" t="s">
        <v>150</v>
      </c>
      <c r="B3" s="11" t="str">
        <f aca="false">'Monthly P&amp;L'!B3</f>
        <v>Jul-26</v>
      </c>
      <c r="C3" s="11" t="str">
        <f aca="false">'Monthly P&amp;L'!C3</f>
        <v>Aug-26</v>
      </c>
      <c r="D3" s="11" t="str">
        <f aca="false">'Monthly P&amp;L'!D3</f>
        <v>Sep-26</v>
      </c>
      <c r="E3" s="11" t="str">
        <f aca="false">'Monthly P&amp;L'!E3</f>
        <v>Oct-26</v>
      </c>
      <c r="F3" s="11" t="str">
        <f aca="false">'Monthly P&amp;L'!F3</f>
        <v>Nov-26</v>
      </c>
      <c r="G3" s="11" t="str">
        <f aca="false">'Monthly P&amp;L'!G3</f>
        <v>Dec-26</v>
      </c>
      <c r="H3" s="11" t="str">
        <f aca="false">'Monthly P&amp;L'!H3</f>
        <v>Jan-27</v>
      </c>
      <c r="I3" s="11" t="str">
        <f aca="false">'Monthly P&amp;L'!I3</f>
        <v>Feb-27</v>
      </c>
      <c r="J3" s="11" t="str">
        <f aca="false">'Monthly P&amp;L'!J3</f>
        <v>Mar-27</v>
      </c>
      <c r="K3" s="11" t="str">
        <f aca="false">'Monthly P&amp;L'!K3</f>
        <v>Apr-27</v>
      </c>
      <c r="L3" s="11" t="str">
        <f aca="false">'Monthly P&amp;L'!L3</f>
        <v>May-27</v>
      </c>
      <c r="M3" s="11" t="str">
        <f aca="false">'Monthly P&amp;L'!M3</f>
        <v>Jun-27</v>
      </c>
      <c r="N3" s="11" t="str">
        <f aca="false">'Monthly P&amp;L'!N3</f>
        <v>Jul-27</v>
      </c>
      <c r="O3" s="11" t="str">
        <f aca="false">'Monthly P&amp;L'!O3</f>
        <v>Aug-27</v>
      </c>
      <c r="P3" s="11" t="str">
        <f aca="false">'Monthly P&amp;L'!P3</f>
        <v>Sep-27</v>
      </c>
      <c r="Q3" s="11" t="str">
        <f aca="false">'Monthly P&amp;L'!Q3</f>
        <v>Oct-27</v>
      </c>
      <c r="R3" s="11" t="str">
        <f aca="false">'Monthly P&amp;L'!R3</f>
        <v>Nov-27</v>
      </c>
      <c r="S3" s="11" t="str">
        <f aca="false">'Monthly P&amp;L'!S3</f>
        <v>Dec-27</v>
      </c>
      <c r="T3" s="11" t="str">
        <f aca="false">'Monthly P&amp;L'!T3</f>
        <v>Jan-28</v>
      </c>
      <c r="U3" s="11" t="str">
        <f aca="false">'Monthly P&amp;L'!U3</f>
        <v>Feb-28</v>
      </c>
      <c r="V3" s="11" t="str">
        <f aca="false">'Monthly P&amp;L'!V3</f>
        <v>Mar-28</v>
      </c>
      <c r="W3" s="11" t="str">
        <f aca="false">'Monthly P&amp;L'!W3</f>
        <v>Apr-28</v>
      </c>
      <c r="X3" s="11" t="str">
        <f aca="false">'Monthly P&amp;L'!X3</f>
        <v>May-28</v>
      </c>
      <c r="Y3" s="12" t="str">
        <f aca="false">'Monthly P&amp;L'!Y3</f>
        <v>Jun-28</v>
      </c>
    </row>
    <row r="4" customFormat="false" ht="15" hidden="false" customHeight="false" outlineLevel="0" collapsed="false">
      <c r="A4" s="100" t="s">
        <v>298</v>
      </c>
      <c r="B4" s="101" t="n">
        <f aca="false">0</f>
        <v>0</v>
      </c>
      <c r="C4" s="101" t="n">
        <f aca="false">B16</f>
        <v>914466.025641026</v>
      </c>
      <c r="D4" s="101" t="n">
        <f aca="false">C16</f>
        <v>864169.230769231</v>
      </c>
      <c r="E4" s="101" t="n">
        <f aca="false">D16</f>
        <v>819133.653846154</v>
      </c>
      <c r="F4" s="101" t="n">
        <f aca="false">E16</f>
        <v>779319.230769231</v>
      </c>
      <c r="G4" s="101" t="n">
        <f aca="false">F16</f>
        <v>746713.141025642</v>
      </c>
      <c r="H4" s="101" t="n">
        <f aca="false">G16</f>
        <v>717012.500000001</v>
      </c>
      <c r="I4" s="101" t="n">
        <f aca="false">H16</f>
        <v>686743.26923077</v>
      </c>
      <c r="J4" s="101" t="n">
        <f aca="false">I16</f>
        <v>667272.115384617</v>
      </c>
      <c r="K4" s="101" t="n">
        <f aca="false">J16</f>
        <v>670898.71794872</v>
      </c>
      <c r="L4" s="101" t="n">
        <f aca="false">K16</f>
        <v>691974.038461541</v>
      </c>
      <c r="M4" s="101" t="n">
        <f aca="false">L16</f>
        <v>740113.461538465</v>
      </c>
      <c r="N4" s="101" t="n">
        <f aca="false">M16</f>
        <v>803273.717948723</v>
      </c>
      <c r="O4" s="101" t="n">
        <f aca="false">N16</f>
        <v>910036.538461545</v>
      </c>
      <c r="P4" s="101" t="n">
        <f aca="false">O16</f>
        <v>1061996.47435898</v>
      </c>
      <c r="Q4" s="101" t="n">
        <f aca="false">P16</f>
        <v>1253167.94871796</v>
      </c>
      <c r="R4" s="101" t="n">
        <f aca="false">Q16</f>
        <v>1483070.19230771</v>
      </c>
      <c r="S4" s="101" t="n">
        <f aca="false">R16</f>
        <v>1756935.57692309</v>
      </c>
      <c r="T4" s="101" t="n">
        <f aca="false">S16</f>
        <v>2067656.73076925</v>
      </c>
      <c r="U4" s="101" t="n">
        <f aca="false">T16</f>
        <v>2416547.75641028</v>
      </c>
      <c r="V4" s="101" t="n">
        <f aca="false">U16</f>
        <v>2787751.28205131</v>
      </c>
      <c r="W4" s="101" t="n">
        <f aca="false">V16</f>
        <v>3167765.70512823</v>
      </c>
      <c r="X4" s="101" t="n">
        <f aca="false">W16</f>
        <v>3558578.20512824</v>
      </c>
      <c r="Y4" s="101" t="n">
        <f aca="false">X16</f>
        <v>3958241.6666667</v>
      </c>
    </row>
    <row r="5" customFormat="false" ht="15" hidden="false" customHeight="false" outlineLevel="0" collapsed="false">
      <c r="A5" s="95" t="s">
        <v>299</v>
      </c>
      <c r="B5" s="102" t="n">
        <f aca="false">Assumptions!$B$5</f>
        <v>1000000</v>
      </c>
      <c r="C5" s="102" t="n">
        <f aca="false">0</f>
        <v>0</v>
      </c>
      <c r="D5" s="102" t="n">
        <f aca="false">0</f>
        <v>0</v>
      </c>
      <c r="E5" s="102" t="n">
        <f aca="false">0</f>
        <v>0</v>
      </c>
      <c r="F5" s="102" t="n">
        <f aca="false">0</f>
        <v>0</v>
      </c>
      <c r="G5" s="102" t="n">
        <f aca="false">0</f>
        <v>0</v>
      </c>
      <c r="H5" s="102" t="n">
        <f aca="false">0</f>
        <v>0</v>
      </c>
      <c r="I5" s="102" t="n">
        <f aca="false">0</f>
        <v>0</v>
      </c>
      <c r="J5" s="102" t="n">
        <f aca="false">0</f>
        <v>0</v>
      </c>
      <c r="K5" s="102" t="n">
        <f aca="false">0</f>
        <v>0</v>
      </c>
      <c r="L5" s="102" t="n">
        <f aca="false">0</f>
        <v>0</v>
      </c>
      <c r="M5" s="102" t="n">
        <f aca="false">0</f>
        <v>0</v>
      </c>
      <c r="N5" s="102" t="n">
        <f aca="false">0</f>
        <v>0</v>
      </c>
      <c r="O5" s="102" t="n">
        <f aca="false">0</f>
        <v>0</v>
      </c>
      <c r="P5" s="102" t="n">
        <f aca="false">0</f>
        <v>0</v>
      </c>
      <c r="Q5" s="102" t="n">
        <f aca="false">0</f>
        <v>0</v>
      </c>
      <c r="R5" s="102" t="n">
        <f aca="false">0</f>
        <v>0</v>
      </c>
      <c r="S5" s="102" t="n">
        <f aca="false">0</f>
        <v>0</v>
      </c>
      <c r="T5" s="102" t="n">
        <f aca="false">0</f>
        <v>0</v>
      </c>
      <c r="U5" s="102" t="n">
        <f aca="false">0</f>
        <v>0</v>
      </c>
      <c r="V5" s="102" t="n">
        <f aca="false">0</f>
        <v>0</v>
      </c>
      <c r="W5" s="102" t="n">
        <f aca="false">0</f>
        <v>0</v>
      </c>
      <c r="X5" s="102" t="n">
        <f aca="false">0</f>
        <v>0</v>
      </c>
      <c r="Y5" s="102" t="n">
        <f aca="false">0</f>
        <v>0</v>
      </c>
    </row>
    <row r="6" customFormat="false" ht="15" hidden="false" customHeight="false" outlineLevel="0" collapsed="false">
      <c r="A6" s="95" t="s">
        <v>189</v>
      </c>
      <c r="B6" s="102" t="n">
        <f aca="false">'Monthly P&amp;L'!B16</f>
        <v>-40934.6153846154</v>
      </c>
      <c r="C6" s="102" t="n">
        <f aca="false">'Monthly P&amp;L'!C16</f>
        <v>-35408.9743589743</v>
      </c>
      <c r="D6" s="102" t="n">
        <f aca="false">'Monthly P&amp;L'!D16</f>
        <v>-29666.9871794871</v>
      </c>
      <c r="E6" s="102" t="n">
        <f aca="false">'Monthly P&amp;L'!E16</f>
        <v>-23243.9102564101</v>
      </c>
      <c r="F6" s="102" t="n">
        <f aca="false">'Monthly P&amp;L'!F16</f>
        <v>-17718.2692307691</v>
      </c>
      <c r="G6" s="102" t="n">
        <f aca="false">'Monthly P&amp;L'!G16</f>
        <v>-9283.97435897416</v>
      </c>
      <c r="H6" s="102" t="n">
        <f aca="false">'Monthly P&amp;L'!H16</f>
        <v>4810.89743589774</v>
      </c>
      <c r="I6" s="102" t="n">
        <f aca="false">'Monthly P&amp;L'!I16</f>
        <v>27387.820512821</v>
      </c>
      <c r="J6" s="102" t="n">
        <f aca="false">'Monthly P&amp;L'!J16</f>
        <v>49283.6538461544</v>
      </c>
      <c r="K6" s="102" t="n">
        <f aca="false">'Monthly P&amp;L'!K16</f>
        <v>76347.7564102572</v>
      </c>
      <c r="L6" s="102" t="n">
        <f aca="false">'Monthly P&amp;L'!L16</f>
        <v>103411.85897436</v>
      </c>
      <c r="M6" s="102" t="n">
        <f aca="false">'Monthly P&amp;L'!M16</f>
        <v>144153.846153847</v>
      </c>
      <c r="N6" s="102" t="n">
        <f aca="false">'Monthly P&amp;L'!N16</f>
        <v>186474.358974361</v>
      </c>
      <c r="O6" s="102" t="n">
        <f aca="false">'Monthly P&amp;L'!O16</f>
        <v>225421.474358976</v>
      </c>
      <c r="P6" s="102" t="n">
        <f aca="false">'Monthly P&amp;L'!P16</f>
        <v>264152.243589746</v>
      </c>
      <c r="Q6" s="102" t="n">
        <f aca="false">'Monthly P&amp;L'!Q16</f>
        <v>302883.012820515</v>
      </c>
      <c r="R6" s="102" t="n">
        <f aca="false">'Monthly P&amp;L'!R16</f>
        <v>335548.076923079</v>
      </c>
      <c r="S6" s="102" t="n">
        <f aca="false">'Monthly P&amp;L'!S16</f>
        <v>363509.615384618</v>
      </c>
      <c r="T6" s="102" t="n">
        <f aca="false">'Monthly P&amp;L'!T16</f>
        <v>379804.48717949</v>
      </c>
      <c r="U6" s="102" t="n">
        <f aca="false">'Monthly P&amp;L'!U16</f>
        <v>389136.217948721</v>
      </c>
      <c r="V6" s="102" t="n">
        <f aca="false">'Monthly P&amp;L'!V16</f>
        <v>399149.038461541</v>
      </c>
      <c r="W6" s="102" t="n">
        <f aca="false">'Monthly P&amp;L'!W16</f>
        <v>408264.423076926</v>
      </c>
      <c r="X6" s="102" t="n">
        <f aca="false">'Monthly P&amp;L'!X16</f>
        <v>417596.153846157</v>
      </c>
      <c r="Y6" s="102" t="n">
        <f aca="false">'Monthly P&amp;L'!Y16</f>
        <v>419532.051282054</v>
      </c>
    </row>
    <row r="7" customFormat="false" ht="15" hidden="false" customHeight="false" outlineLevel="0" collapsed="false">
      <c r="A7" s="95" t="s">
        <v>300</v>
      </c>
      <c r="B7" s="102" t="n">
        <f aca="false">'Monthly P&amp;L'!B9</f>
        <v>5048.07692307692</v>
      </c>
      <c r="C7" s="102" t="n">
        <f aca="false">'Monthly P&amp;L'!C9</f>
        <v>13461.5384615385</v>
      </c>
      <c r="D7" s="102" t="n">
        <f aca="false">'Monthly P&amp;L'!D9</f>
        <v>21875</v>
      </c>
      <c r="E7" s="102" t="n">
        <f aca="false">'Monthly P&amp;L'!E9</f>
        <v>31971.1538461538</v>
      </c>
      <c r="F7" s="102" t="n">
        <f aca="false">'Monthly P&amp;L'!F9</f>
        <v>40384.6153846154</v>
      </c>
      <c r="G7" s="102" t="n">
        <f aca="false">'Monthly P&amp;L'!G9</f>
        <v>53846.1538461538</v>
      </c>
      <c r="H7" s="102" t="n">
        <f aca="false">'Monthly P&amp;L'!H9</f>
        <v>82451.9230769231</v>
      </c>
      <c r="I7" s="102" t="n">
        <f aca="false">'Monthly P&amp;L'!I9</f>
        <v>122836.538461538</v>
      </c>
      <c r="J7" s="102" t="n">
        <f aca="false">'Monthly P&amp;L'!J9</f>
        <v>161538.461538462</v>
      </c>
      <c r="K7" s="102" t="n">
        <f aca="false">'Monthly P&amp;L'!K9</f>
        <v>210336.538461538</v>
      </c>
      <c r="L7" s="102" t="n">
        <f aca="false">'Monthly P&amp;L'!L9</f>
        <v>259134.615384615</v>
      </c>
      <c r="M7" s="102" t="n">
        <f aca="false">'Monthly P&amp;L'!M9</f>
        <v>333173.076923077</v>
      </c>
      <c r="N7" s="102" t="n">
        <f aca="false">'Monthly P&amp;L'!N9</f>
        <v>410576.923076923</v>
      </c>
      <c r="O7" s="102" t="n">
        <f aca="false">'Monthly P&amp;L'!O9</f>
        <v>481250</v>
      </c>
      <c r="P7" s="102" t="n">
        <f aca="false">'Monthly P&amp;L'!P9</f>
        <v>551923.076923077</v>
      </c>
      <c r="Q7" s="102" t="n">
        <f aca="false">'Monthly P&amp;L'!Q9</f>
        <v>622596.153846154</v>
      </c>
      <c r="R7" s="102" t="n">
        <f aca="false">'Monthly P&amp;L'!R9</f>
        <v>681490.384615385</v>
      </c>
      <c r="S7" s="102" t="n">
        <f aca="false">'Monthly P&amp;L'!S9</f>
        <v>731971.153846154</v>
      </c>
      <c r="T7" s="102" t="n">
        <f aca="false">'Monthly P&amp;L'!T9</f>
        <v>760576.923076923</v>
      </c>
      <c r="U7" s="102" t="n">
        <f aca="false">'Monthly P&amp;L'!U9</f>
        <v>775721.153846154</v>
      </c>
      <c r="V7" s="102" t="n">
        <f aca="false">'Monthly P&amp;L'!V9</f>
        <v>792548.076923077</v>
      </c>
      <c r="W7" s="102" t="n">
        <f aca="false">'Monthly P&amp;L'!W9</f>
        <v>807692.307692308</v>
      </c>
      <c r="X7" s="102" t="n">
        <f aca="false">'Monthly P&amp;L'!X9</f>
        <v>822836.538461538</v>
      </c>
      <c r="Y7" s="102" t="n">
        <f aca="false">'Monthly P&amp;L'!Y9</f>
        <v>824519.230769231</v>
      </c>
    </row>
    <row r="8" customFormat="false" ht="15" hidden="false" customHeight="false" outlineLevel="0" collapsed="false">
      <c r="A8" s="95" t="s">
        <v>301</v>
      </c>
      <c r="B8" s="102" t="n">
        <f aca="false">IF(COLUMN()-COLUMN($B$8)&lt;Assumptions!$B$29,0,INDEX('Monthly P&amp;L'!$B$9:$Y$9,1,COLUMN()-COLUMN($B$8)+1-Assumptions!$B$29))</f>
        <v>0</v>
      </c>
      <c r="C8" s="102" t="n">
        <f aca="false">IF(COLUMN()-COLUMN($B$8)&lt;Assumptions!$B$29,0,INDEX('Monthly P&amp;L'!$B$9:$Y$9,1,COLUMN()-COLUMN($B$8)+1-Assumptions!$B$29))</f>
        <v>5048.07692307692</v>
      </c>
      <c r="D8" s="102" t="n">
        <f aca="false">IF(COLUMN()-COLUMN($B$8)&lt;Assumptions!$B$29,0,INDEX('Monthly P&amp;L'!$B$9:$Y$9,1,COLUMN()-COLUMN($B$8)+1-Assumptions!$B$29))</f>
        <v>13461.5384615385</v>
      </c>
      <c r="E8" s="102" t="n">
        <f aca="false">IF(COLUMN()-COLUMN($B$8)&lt;Assumptions!$B$29,0,INDEX('Monthly P&amp;L'!$B$9:$Y$9,1,COLUMN()-COLUMN($B$8)+1-Assumptions!$B$29))</f>
        <v>21875</v>
      </c>
      <c r="F8" s="102" t="n">
        <f aca="false">IF(COLUMN()-COLUMN($B$8)&lt;Assumptions!$B$29,0,INDEX('Monthly P&amp;L'!$B$9:$Y$9,1,COLUMN()-COLUMN($B$8)+1-Assumptions!$B$29))</f>
        <v>31971.1538461538</v>
      </c>
      <c r="G8" s="102" t="n">
        <f aca="false">IF(COLUMN()-COLUMN($B$8)&lt;Assumptions!$B$29,0,INDEX('Monthly P&amp;L'!$B$9:$Y$9,1,COLUMN()-COLUMN($B$8)+1-Assumptions!$B$29))</f>
        <v>40384.6153846154</v>
      </c>
      <c r="H8" s="102" t="n">
        <f aca="false">IF(COLUMN()-COLUMN($B$8)&lt;Assumptions!$B$29,0,INDEX('Monthly P&amp;L'!$B$9:$Y$9,1,COLUMN()-COLUMN($B$8)+1-Assumptions!$B$29))</f>
        <v>53846.1538461538</v>
      </c>
      <c r="I8" s="102" t="n">
        <f aca="false">IF(COLUMN()-COLUMN($B$8)&lt;Assumptions!$B$29,0,INDEX('Monthly P&amp;L'!$B$9:$Y$9,1,COLUMN()-COLUMN($B$8)+1-Assumptions!$B$29))</f>
        <v>82451.9230769231</v>
      </c>
      <c r="J8" s="102" t="n">
        <f aca="false">IF(COLUMN()-COLUMN($B$8)&lt;Assumptions!$B$29,0,INDEX('Monthly P&amp;L'!$B$9:$Y$9,1,COLUMN()-COLUMN($B$8)+1-Assumptions!$B$29))</f>
        <v>122836.538461538</v>
      </c>
      <c r="K8" s="102" t="n">
        <f aca="false">IF(COLUMN()-COLUMN($B$8)&lt;Assumptions!$B$29,0,INDEX('Monthly P&amp;L'!$B$9:$Y$9,1,COLUMN()-COLUMN($B$8)+1-Assumptions!$B$29))</f>
        <v>161538.461538462</v>
      </c>
      <c r="L8" s="102" t="n">
        <f aca="false">IF(COLUMN()-COLUMN($B$8)&lt;Assumptions!$B$29,0,INDEX('Monthly P&amp;L'!$B$9:$Y$9,1,COLUMN()-COLUMN($B$8)+1-Assumptions!$B$29))</f>
        <v>210336.538461538</v>
      </c>
      <c r="M8" s="102" t="n">
        <f aca="false">IF(COLUMN()-COLUMN($B$8)&lt;Assumptions!$B$29,0,INDEX('Monthly P&amp;L'!$B$9:$Y$9,1,COLUMN()-COLUMN($B$8)+1-Assumptions!$B$29))</f>
        <v>259134.615384615</v>
      </c>
      <c r="N8" s="102" t="n">
        <f aca="false">IF(COLUMN()-COLUMN($B$8)&lt;Assumptions!$B$29,0,INDEX('Monthly P&amp;L'!$B$9:$Y$9,1,COLUMN()-COLUMN($B$8)+1-Assumptions!$B$29))</f>
        <v>333173.076923077</v>
      </c>
      <c r="O8" s="102" t="n">
        <f aca="false">IF(COLUMN()-COLUMN($B$8)&lt;Assumptions!$B$29,0,INDEX('Monthly P&amp;L'!$B$9:$Y$9,1,COLUMN()-COLUMN($B$8)+1-Assumptions!$B$29))</f>
        <v>410576.923076923</v>
      </c>
      <c r="P8" s="102" t="n">
        <f aca="false">IF(COLUMN()-COLUMN($B$8)&lt;Assumptions!$B$29,0,INDEX('Monthly P&amp;L'!$B$9:$Y$9,1,COLUMN()-COLUMN($B$8)+1-Assumptions!$B$29))</f>
        <v>481250</v>
      </c>
      <c r="Q8" s="102" t="n">
        <f aca="false">IF(COLUMN()-COLUMN($B$8)&lt;Assumptions!$B$29,0,INDEX('Monthly P&amp;L'!$B$9:$Y$9,1,COLUMN()-COLUMN($B$8)+1-Assumptions!$B$29))</f>
        <v>551923.076923077</v>
      </c>
      <c r="R8" s="102" t="n">
        <f aca="false">IF(COLUMN()-COLUMN($B$8)&lt;Assumptions!$B$29,0,INDEX('Monthly P&amp;L'!$B$9:$Y$9,1,COLUMN()-COLUMN($B$8)+1-Assumptions!$B$29))</f>
        <v>622596.153846154</v>
      </c>
      <c r="S8" s="102" t="n">
        <f aca="false">IF(COLUMN()-COLUMN($B$8)&lt;Assumptions!$B$29,0,INDEX('Monthly P&amp;L'!$B$9:$Y$9,1,COLUMN()-COLUMN($B$8)+1-Assumptions!$B$29))</f>
        <v>681490.384615385</v>
      </c>
      <c r="T8" s="102" t="n">
        <f aca="false">IF(COLUMN()-COLUMN($B$8)&lt;Assumptions!$B$29,0,INDEX('Monthly P&amp;L'!$B$9:$Y$9,1,COLUMN()-COLUMN($B$8)+1-Assumptions!$B$29))</f>
        <v>731971.153846154</v>
      </c>
      <c r="U8" s="102" t="n">
        <f aca="false">IF(COLUMN()-COLUMN($B$8)&lt;Assumptions!$B$29,0,INDEX('Monthly P&amp;L'!$B$9:$Y$9,1,COLUMN()-COLUMN($B$8)+1-Assumptions!$B$29))</f>
        <v>760576.923076923</v>
      </c>
      <c r="V8" s="102" t="n">
        <f aca="false">IF(COLUMN()-COLUMN($B$8)&lt;Assumptions!$B$29,0,INDEX('Monthly P&amp;L'!$B$9:$Y$9,1,COLUMN()-COLUMN($B$8)+1-Assumptions!$B$29))</f>
        <v>775721.153846154</v>
      </c>
      <c r="W8" s="102" t="n">
        <f aca="false">IF(COLUMN()-COLUMN($B$8)&lt;Assumptions!$B$29,0,INDEX('Monthly P&amp;L'!$B$9:$Y$9,1,COLUMN()-COLUMN($B$8)+1-Assumptions!$B$29))</f>
        <v>792548.076923077</v>
      </c>
      <c r="X8" s="102" t="n">
        <f aca="false">IF(COLUMN()-COLUMN($B$8)&lt;Assumptions!$B$29,0,INDEX('Monthly P&amp;L'!$B$9:$Y$9,1,COLUMN()-COLUMN($B$8)+1-Assumptions!$B$29))</f>
        <v>807692.307692308</v>
      </c>
      <c r="Y8" s="102" t="n">
        <f aca="false">IF(COLUMN()-COLUMN($B$8)&lt;Assumptions!$B$29,0,INDEX('Monthly P&amp;L'!$B$9:$Y$9,1,COLUMN()-COLUMN($B$8)+1-Assumptions!$B$29))</f>
        <v>822836.538461538</v>
      </c>
    </row>
    <row r="9" customFormat="false" ht="15" hidden="false" customHeight="false" outlineLevel="0" collapsed="false">
      <c r="A9" s="95" t="s">
        <v>302</v>
      </c>
      <c r="B9" s="102" t="n">
        <f aca="false">B7-B8</f>
        <v>5048.07692307692</v>
      </c>
      <c r="C9" s="102" t="n">
        <f aca="false">C7-C8</f>
        <v>8413.46153846154</v>
      </c>
      <c r="D9" s="102" t="n">
        <f aca="false">D7-D8</f>
        <v>8413.46153846154</v>
      </c>
      <c r="E9" s="102" t="n">
        <f aca="false">E7-E8</f>
        <v>10096.1538461538</v>
      </c>
      <c r="F9" s="102" t="n">
        <f aca="false">F7-F8</f>
        <v>8413.46153846154</v>
      </c>
      <c r="G9" s="102" t="n">
        <f aca="false">G7-G8</f>
        <v>13461.5384615385</v>
      </c>
      <c r="H9" s="102" t="n">
        <f aca="false">H7-H8</f>
        <v>28605.7692307692</v>
      </c>
      <c r="I9" s="102" t="n">
        <f aca="false">I7-I8</f>
        <v>40384.6153846154</v>
      </c>
      <c r="J9" s="102" t="n">
        <f aca="false">J7-J8</f>
        <v>38701.9230769231</v>
      </c>
      <c r="K9" s="102" t="n">
        <f aca="false">K7-K8</f>
        <v>48798.0769230769</v>
      </c>
      <c r="L9" s="102" t="n">
        <f aca="false">L7-L8</f>
        <v>48798.0769230769</v>
      </c>
      <c r="M9" s="102" t="n">
        <f aca="false">M7-M8</f>
        <v>74038.4615384616</v>
      </c>
      <c r="N9" s="102" t="n">
        <f aca="false">N7-N8</f>
        <v>77403.8461538461</v>
      </c>
      <c r="O9" s="102" t="n">
        <f aca="false">O7-O8</f>
        <v>70673.0769230769</v>
      </c>
      <c r="P9" s="102" t="n">
        <f aca="false">P7-P8</f>
        <v>70673.0769230769</v>
      </c>
      <c r="Q9" s="102" t="n">
        <f aca="false">Q7-Q8</f>
        <v>70673.076923077</v>
      </c>
      <c r="R9" s="102" t="n">
        <f aca="false">R7-R8</f>
        <v>58894.2307692308</v>
      </c>
      <c r="S9" s="102" t="n">
        <f aca="false">S7-S8</f>
        <v>50480.7692307693</v>
      </c>
      <c r="T9" s="102" t="n">
        <f aca="false">T7-T8</f>
        <v>28605.7692307691</v>
      </c>
      <c r="U9" s="102" t="n">
        <f aca="false">U7-U8</f>
        <v>15144.2307692309</v>
      </c>
      <c r="V9" s="102" t="n">
        <f aca="false">V7-V8</f>
        <v>16826.923076923</v>
      </c>
      <c r="W9" s="102" t="n">
        <f aca="false">W7-W8</f>
        <v>15144.2307692308</v>
      </c>
      <c r="X9" s="102" t="n">
        <f aca="false">X7-X8</f>
        <v>15144.2307692308</v>
      </c>
      <c r="Y9" s="102" t="n">
        <f aca="false">Y7-Y8</f>
        <v>1682.69230769237</v>
      </c>
    </row>
    <row r="10" customFormat="false" ht="15" hidden="false" customHeight="false" outlineLevel="0" collapsed="false">
      <c r="A10" s="95" t="s">
        <v>303</v>
      </c>
      <c r="B10" s="102" t="n">
        <f aca="false">'Monthly P&amp;L'!B10</f>
        <v>10384.6153846154</v>
      </c>
      <c r="C10" s="102" t="n">
        <f aca="false">'Monthly P&amp;L'!C10</f>
        <v>12692.3076923077</v>
      </c>
      <c r="D10" s="102" t="n">
        <f aca="false">'Monthly P&amp;L'!D10</f>
        <v>15480.7692307692</v>
      </c>
      <c r="E10" s="102" t="n">
        <f aca="false">'Monthly P&amp;L'!E10</f>
        <v>17788.4615384615</v>
      </c>
      <c r="F10" s="102" t="n">
        <f aca="false">'Monthly P&amp;L'!F10</f>
        <v>20096.1538461538</v>
      </c>
      <c r="G10" s="102" t="n">
        <f aca="false">'Monthly P&amp;L'!G10</f>
        <v>22884.6153846154</v>
      </c>
      <c r="H10" s="102" t="n">
        <f aca="false">'Monthly P&amp;L'!H10</f>
        <v>25192.3076923077</v>
      </c>
      <c r="I10" s="102" t="n">
        <f aca="false">'Monthly P&amp;L'!I10</f>
        <v>27500</v>
      </c>
      <c r="J10" s="102" t="n">
        <f aca="false">'Monthly P&amp;L'!J10</f>
        <v>30288.4615384615</v>
      </c>
      <c r="K10" s="102" t="n">
        <f aca="false">'Monthly P&amp;L'!K10</f>
        <v>32596.1538461538</v>
      </c>
      <c r="L10" s="102" t="n">
        <f aca="false">'Monthly P&amp;L'!L10</f>
        <v>34903.8461538462</v>
      </c>
      <c r="M10" s="102" t="n">
        <f aca="false">'Monthly P&amp;L'!M10</f>
        <v>37692.3076923077</v>
      </c>
      <c r="N10" s="102" t="n">
        <f aca="false">'Monthly P&amp;L'!N10</f>
        <v>40000</v>
      </c>
      <c r="O10" s="102" t="n">
        <f aca="false">'Monthly P&amp;L'!O10</f>
        <v>42788.4615384615</v>
      </c>
      <c r="P10" s="102" t="n">
        <f aca="false">'Monthly P&amp;L'!P10</f>
        <v>45096.1538461538</v>
      </c>
      <c r="Q10" s="102" t="n">
        <f aca="false">'Monthly P&amp;L'!Q10</f>
        <v>47403.8461538462</v>
      </c>
      <c r="R10" s="102" t="n">
        <f aca="false">'Monthly P&amp;L'!R10</f>
        <v>50192.3076923077</v>
      </c>
      <c r="S10" s="102" t="n">
        <f aca="false">'Monthly P&amp;L'!S10</f>
        <v>52500</v>
      </c>
      <c r="T10" s="102" t="n">
        <f aca="false">'Monthly P&amp;L'!T10</f>
        <v>54807.6923076923</v>
      </c>
      <c r="U10" s="102" t="n">
        <f aca="false">'Monthly P&amp;L'!U10</f>
        <v>57596.1538461538</v>
      </c>
      <c r="V10" s="102" t="n">
        <f aca="false">'Monthly P&amp;L'!V10</f>
        <v>59903.8461538462</v>
      </c>
      <c r="W10" s="102" t="n">
        <f aca="false">'Monthly P&amp;L'!W10</f>
        <v>62211.5384615385</v>
      </c>
      <c r="X10" s="102" t="n">
        <f aca="false">'Monthly P&amp;L'!X10</f>
        <v>65000</v>
      </c>
      <c r="Y10" s="102" t="n">
        <f aca="false">'Monthly P&amp;L'!Y10</f>
        <v>67307.6923076923</v>
      </c>
    </row>
    <row r="11" customFormat="false" ht="15" hidden="false" customHeight="false" outlineLevel="0" collapsed="false">
      <c r="A11" s="95" t="s">
        <v>304</v>
      </c>
      <c r="B11" s="102" t="n">
        <f aca="false">IF(COLUMN()-COLUMN($B$11)&lt;Assumptions!$B$30,0,INDEX('Monthly P&amp;L'!$B$10:$Y$10,1,COLUMN()-COLUMN($B$11)+1-Assumptions!$B$30))</f>
        <v>0</v>
      </c>
      <c r="C11" s="102" t="n">
        <f aca="false">IF(COLUMN()-COLUMN($B$11)&lt;Assumptions!$B$30,0,INDEX('Monthly P&amp;L'!$B$10:$Y$10,1,COLUMN()-COLUMN($B$11)+1-Assumptions!$B$30))</f>
        <v>10384.6153846154</v>
      </c>
      <c r="D11" s="102" t="n">
        <f aca="false">IF(COLUMN()-COLUMN($B$11)&lt;Assumptions!$B$30,0,INDEX('Monthly P&amp;L'!$B$10:$Y$10,1,COLUMN()-COLUMN($B$11)+1-Assumptions!$B$30))</f>
        <v>12692.3076923077</v>
      </c>
      <c r="E11" s="102" t="n">
        <f aca="false">IF(COLUMN()-COLUMN($B$11)&lt;Assumptions!$B$30,0,INDEX('Monthly P&amp;L'!$B$10:$Y$10,1,COLUMN()-COLUMN($B$11)+1-Assumptions!$B$30))</f>
        <v>15480.7692307692</v>
      </c>
      <c r="F11" s="102" t="n">
        <f aca="false">IF(COLUMN()-COLUMN($B$11)&lt;Assumptions!$B$30,0,INDEX('Monthly P&amp;L'!$B$10:$Y$10,1,COLUMN()-COLUMN($B$11)+1-Assumptions!$B$30))</f>
        <v>17788.4615384615</v>
      </c>
      <c r="G11" s="102" t="n">
        <f aca="false">IF(COLUMN()-COLUMN($B$11)&lt;Assumptions!$B$30,0,INDEX('Monthly P&amp;L'!$B$10:$Y$10,1,COLUMN()-COLUMN($B$11)+1-Assumptions!$B$30))</f>
        <v>20096.1538461538</v>
      </c>
      <c r="H11" s="102" t="n">
        <f aca="false">IF(COLUMN()-COLUMN($B$11)&lt;Assumptions!$B$30,0,INDEX('Monthly P&amp;L'!$B$10:$Y$10,1,COLUMN()-COLUMN($B$11)+1-Assumptions!$B$30))</f>
        <v>22884.6153846154</v>
      </c>
      <c r="I11" s="102" t="n">
        <f aca="false">IF(COLUMN()-COLUMN($B$11)&lt;Assumptions!$B$30,0,INDEX('Monthly P&amp;L'!$B$10:$Y$10,1,COLUMN()-COLUMN($B$11)+1-Assumptions!$B$30))</f>
        <v>25192.3076923077</v>
      </c>
      <c r="J11" s="102" t="n">
        <f aca="false">IF(COLUMN()-COLUMN($B$11)&lt;Assumptions!$B$30,0,INDEX('Monthly P&amp;L'!$B$10:$Y$10,1,COLUMN()-COLUMN($B$11)+1-Assumptions!$B$30))</f>
        <v>27500</v>
      </c>
      <c r="K11" s="102" t="n">
        <f aca="false">IF(COLUMN()-COLUMN($B$11)&lt;Assumptions!$B$30,0,INDEX('Monthly P&amp;L'!$B$10:$Y$10,1,COLUMN()-COLUMN($B$11)+1-Assumptions!$B$30))</f>
        <v>30288.4615384615</v>
      </c>
      <c r="L11" s="102" t="n">
        <f aca="false">IF(COLUMN()-COLUMN($B$11)&lt;Assumptions!$B$30,0,INDEX('Monthly P&amp;L'!$B$10:$Y$10,1,COLUMN()-COLUMN($B$11)+1-Assumptions!$B$30))</f>
        <v>32596.1538461538</v>
      </c>
      <c r="M11" s="102" t="n">
        <f aca="false">IF(COLUMN()-COLUMN($B$11)&lt;Assumptions!$B$30,0,INDEX('Monthly P&amp;L'!$B$10:$Y$10,1,COLUMN()-COLUMN($B$11)+1-Assumptions!$B$30))</f>
        <v>34903.8461538462</v>
      </c>
      <c r="N11" s="102" t="n">
        <f aca="false">IF(COLUMN()-COLUMN($B$11)&lt;Assumptions!$B$30,0,INDEX('Monthly P&amp;L'!$B$10:$Y$10,1,COLUMN()-COLUMN($B$11)+1-Assumptions!$B$30))</f>
        <v>37692.3076923077</v>
      </c>
      <c r="O11" s="102" t="n">
        <f aca="false">IF(COLUMN()-COLUMN($B$11)&lt;Assumptions!$B$30,0,INDEX('Monthly P&amp;L'!$B$10:$Y$10,1,COLUMN()-COLUMN($B$11)+1-Assumptions!$B$30))</f>
        <v>40000</v>
      </c>
      <c r="P11" s="102" t="n">
        <f aca="false">IF(COLUMN()-COLUMN($B$11)&lt;Assumptions!$B$30,0,INDEX('Monthly P&amp;L'!$B$10:$Y$10,1,COLUMN()-COLUMN($B$11)+1-Assumptions!$B$30))</f>
        <v>42788.4615384615</v>
      </c>
      <c r="Q11" s="102" t="n">
        <f aca="false">IF(COLUMN()-COLUMN($B$11)&lt;Assumptions!$B$30,0,INDEX('Monthly P&amp;L'!$B$10:$Y$10,1,COLUMN()-COLUMN($B$11)+1-Assumptions!$B$30))</f>
        <v>45096.1538461538</v>
      </c>
      <c r="R11" s="102" t="n">
        <f aca="false">IF(COLUMN()-COLUMN($B$11)&lt;Assumptions!$B$30,0,INDEX('Monthly P&amp;L'!$B$10:$Y$10,1,COLUMN()-COLUMN($B$11)+1-Assumptions!$B$30))</f>
        <v>47403.8461538462</v>
      </c>
      <c r="S11" s="102" t="n">
        <f aca="false">IF(COLUMN()-COLUMN($B$11)&lt;Assumptions!$B$30,0,INDEX('Monthly P&amp;L'!$B$10:$Y$10,1,COLUMN()-COLUMN($B$11)+1-Assumptions!$B$30))</f>
        <v>50192.3076923077</v>
      </c>
      <c r="T11" s="102" t="n">
        <f aca="false">IF(COLUMN()-COLUMN($B$11)&lt;Assumptions!$B$30,0,INDEX('Monthly P&amp;L'!$B$10:$Y$10,1,COLUMN()-COLUMN($B$11)+1-Assumptions!$B$30))</f>
        <v>52500</v>
      </c>
      <c r="U11" s="102" t="n">
        <f aca="false">IF(COLUMN()-COLUMN($B$11)&lt;Assumptions!$B$30,0,INDEX('Monthly P&amp;L'!$B$10:$Y$10,1,COLUMN()-COLUMN($B$11)+1-Assumptions!$B$30))</f>
        <v>54807.6923076923</v>
      </c>
      <c r="V11" s="102" t="n">
        <f aca="false">IF(COLUMN()-COLUMN($B$11)&lt;Assumptions!$B$30,0,INDEX('Monthly P&amp;L'!$B$10:$Y$10,1,COLUMN()-COLUMN($B$11)+1-Assumptions!$B$30))</f>
        <v>57596.1538461538</v>
      </c>
      <c r="W11" s="102" t="n">
        <f aca="false">IF(COLUMN()-COLUMN($B$11)&lt;Assumptions!$B$30,0,INDEX('Monthly P&amp;L'!$B$10:$Y$10,1,COLUMN()-COLUMN($B$11)+1-Assumptions!$B$30))</f>
        <v>59903.8461538462</v>
      </c>
      <c r="X11" s="102" t="n">
        <f aca="false">IF(COLUMN()-COLUMN($B$11)&lt;Assumptions!$B$30,0,INDEX('Monthly P&amp;L'!$B$10:$Y$10,1,COLUMN()-COLUMN($B$11)+1-Assumptions!$B$30))</f>
        <v>62211.5384615385</v>
      </c>
      <c r="Y11" s="102" t="n">
        <f aca="false">IF(COLUMN()-COLUMN($B$11)&lt;Assumptions!$B$30,0,INDEX('Monthly P&amp;L'!$B$10:$Y$10,1,COLUMN()-COLUMN($B$11)+1-Assumptions!$B$30))</f>
        <v>65000</v>
      </c>
    </row>
    <row r="12" customFormat="false" ht="15" hidden="false" customHeight="false" outlineLevel="0" collapsed="false">
      <c r="A12" s="95" t="s">
        <v>305</v>
      </c>
      <c r="B12" s="102" t="n">
        <f aca="false">B10-B11</f>
        <v>10384.6153846154</v>
      </c>
      <c r="C12" s="102" t="n">
        <f aca="false">C10-C11</f>
        <v>2307.69230769231</v>
      </c>
      <c r="D12" s="102" t="n">
        <f aca="false">D10-D11</f>
        <v>2788.46153846154</v>
      </c>
      <c r="E12" s="102" t="n">
        <f aca="false">E10-E11</f>
        <v>2307.69230769231</v>
      </c>
      <c r="F12" s="102" t="n">
        <f aca="false">F10-F11</f>
        <v>2307.69230769231</v>
      </c>
      <c r="G12" s="102" t="n">
        <f aca="false">G10-G11</f>
        <v>2788.46153846154</v>
      </c>
      <c r="H12" s="102" t="n">
        <f aca="false">H10-H11</f>
        <v>2307.69230769231</v>
      </c>
      <c r="I12" s="102" t="n">
        <f aca="false">I10-I11</f>
        <v>2307.69230769231</v>
      </c>
      <c r="J12" s="102" t="n">
        <f aca="false">J10-J11</f>
        <v>2788.46153846154</v>
      </c>
      <c r="K12" s="102" t="n">
        <f aca="false">K10-K11</f>
        <v>2307.69230769231</v>
      </c>
      <c r="L12" s="102" t="n">
        <f aca="false">L10-L11</f>
        <v>2307.69230769231</v>
      </c>
      <c r="M12" s="102" t="n">
        <f aca="false">M10-M11</f>
        <v>2788.46153846153</v>
      </c>
      <c r="N12" s="102" t="n">
        <f aca="false">N10-N11</f>
        <v>2307.69230769231</v>
      </c>
      <c r="O12" s="102" t="n">
        <f aca="false">O10-O11</f>
        <v>2788.46153846154</v>
      </c>
      <c r="P12" s="102" t="n">
        <f aca="false">P10-P11</f>
        <v>2307.69230769231</v>
      </c>
      <c r="Q12" s="102" t="n">
        <f aca="false">Q10-Q11</f>
        <v>2307.69230769231</v>
      </c>
      <c r="R12" s="102" t="n">
        <f aca="false">R10-R11</f>
        <v>2788.46153846154</v>
      </c>
      <c r="S12" s="102" t="n">
        <f aca="false">S10-S11</f>
        <v>2307.69230769231</v>
      </c>
      <c r="T12" s="102" t="n">
        <f aca="false">T10-T11</f>
        <v>2307.69230769231</v>
      </c>
      <c r="U12" s="102" t="n">
        <f aca="false">U10-U11</f>
        <v>2788.46153846154</v>
      </c>
      <c r="V12" s="102" t="n">
        <f aca="false">V10-V11</f>
        <v>2307.69230769231</v>
      </c>
      <c r="W12" s="102" t="n">
        <f aca="false">W10-W11</f>
        <v>2307.69230769231</v>
      </c>
      <c r="X12" s="102" t="n">
        <f aca="false">X10-X11</f>
        <v>2788.46153846154</v>
      </c>
      <c r="Y12" s="102" t="n">
        <f aca="false">Y10-Y11</f>
        <v>2307.69230769231</v>
      </c>
    </row>
    <row r="13" customFormat="false" ht="15" hidden="false" customHeight="false" outlineLevel="0" collapsed="false">
      <c r="A13" s="95" t="s">
        <v>306</v>
      </c>
      <c r="B13" s="102" t="n">
        <f aca="false">Assumptions!$B$31</f>
        <v>25000</v>
      </c>
      <c r="C13" s="102" t="n">
        <f aca="false">0</f>
        <v>0</v>
      </c>
      <c r="D13" s="102" t="n">
        <f aca="false">0</f>
        <v>0</v>
      </c>
      <c r="E13" s="102" t="n">
        <f aca="false">0</f>
        <v>0</v>
      </c>
      <c r="F13" s="102" t="n">
        <f aca="false">0</f>
        <v>0</v>
      </c>
      <c r="G13" s="102" t="n">
        <f aca="false">0</f>
        <v>0</v>
      </c>
      <c r="H13" s="102" t="n">
        <f aca="false">0</f>
        <v>0</v>
      </c>
      <c r="I13" s="102" t="n">
        <f aca="false">0</f>
        <v>0</v>
      </c>
      <c r="J13" s="102" t="n">
        <f aca="false">0</f>
        <v>0</v>
      </c>
      <c r="K13" s="102" t="n">
        <f aca="false">0</f>
        <v>0</v>
      </c>
      <c r="L13" s="102" t="n">
        <f aca="false">0</f>
        <v>0</v>
      </c>
      <c r="M13" s="102" t="n">
        <f aca="false">0</f>
        <v>0</v>
      </c>
      <c r="N13" s="102" t="n">
        <f aca="false">0</f>
        <v>0</v>
      </c>
      <c r="O13" s="102" t="n">
        <f aca="false">0</f>
        <v>0</v>
      </c>
      <c r="P13" s="102" t="n">
        <f aca="false">0</f>
        <v>0</v>
      </c>
      <c r="Q13" s="102" t="n">
        <f aca="false">0</f>
        <v>0</v>
      </c>
      <c r="R13" s="102" t="n">
        <f aca="false">0</f>
        <v>0</v>
      </c>
      <c r="S13" s="102" t="n">
        <f aca="false">0</f>
        <v>0</v>
      </c>
      <c r="T13" s="102" t="n">
        <f aca="false">0</f>
        <v>0</v>
      </c>
      <c r="U13" s="102" t="n">
        <f aca="false">0</f>
        <v>0</v>
      </c>
      <c r="V13" s="102" t="n">
        <f aca="false">0</f>
        <v>0</v>
      </c>
      <c r="W13" s="102" t="n">
        <f aca="false">0</f>
        <v>0</v>
      </c>
      <c r="X13" s="102" t="n">
        <f aca="false">0</f>
        <v>0</v>
      </c>
      <c r="Y13" s="102" t="n">
        <f aca="false">0</f>
        <v>0</v>
      </c>
    </row>
    <row r="14" customFormat="false" ht="15" hidden="false" customHeight="false" outlineLevel="0" collapsed="false">
      <c r="A14" s="95" t="s">
        <v>307</v>
      </c>
      <c r="B14" s="102" t="n">
        <f aca="false">Assumptions!$B$32/12</f>
        <v>4166.66666666667</v>
      </c>
      <c r="C14" s="102" t="n">
        <f aca="false">Assumptions!$B$32/12</f>
        <v>4166.66666666667</v>
      </c>
      <c r="D14" s="102" t="n">
        <f aca="false">Assumptions!$B$32/12</f>
        <v>4166.66666666667</v>
      </c>
      <c r="E14" s="102" t="n">
        <f aca="false">Assumptions!$B$32/12</f>
        <v>4166.66666666667</v>
      </c>
      <c r="F14" s="102" t="n">
        <f aca="false">Assumptions!$B$32/12</f>
        <v>4166.66666666667</v>
      </c>
      <c r="G14" s="102" t="n">
        <f aca="false">Assumptions!$B$32/12</f>
        <v>4166.66666666667</v>
      </c>
      <c r="H14" s="102" t="n">
        <f aca="false">Assumptions!$B$32/12</f>
        <v>4166.66666666667</v>
      </c>
      <c r="I14" s="102" t="n">
        <f aca="false">Assumptions!$B$32/12</f>
        <v>4166.66666666667</v>
      </c>
      <c r="J14" s="102" t="n">
        <f aca="false">Assumptions!$B$32/12</f>
        <v>4166.66666666667</v>
      </c>
      <c r="K14" s="102" t="n">
        <f aca="false">Assumptions!$B$32/12</f>
        <v>4166.66666666667</v>
      </c>
      <c r="L14" s="102" t="n">
        <f aca="false">Assumptions!$B$32/12</f>
        <v>4166.66666666667</v>
      </c>
      <c r="M14" s="102" t="n">
        <f aca="false">Assumptions!$B$32/12</f>
        <v>4166.66666666667</v>
      </c>
      <c r="N14" s="102" t="n">
        <f aca="false">0</f>
        <v>0</v>
      </c>
      <c r="O14" s="102" t="n">
        <f aca="false">0</f>
        <v>0</v>
      </c>
      <c r="P14" s="102" t="n">
        <f aca="false">0</f>
        <v>0</v>
      </c>
      <c r="Q14" s="102" t="n">
        <f aca="false">0</f>
        <v>0</v>
      </c>
      <c r="R14" s="102" t="n">
        <f aca="false">0</f>
        <v>0</v>
      </c>
      <c r="S14" s="102" t="n">
        <f aca="false">0</f>
        <v>0</v>
      </c>
      <c r="T14" s="102" t="n">
        <f aca="false">0</f>
        <v>0</v>
      </c>
      <c r="U14" s="102" t="n">
        <f aca="false">0</f>
        <v>0</v>
      </c>
      <c r="V14" s="102" t="n">
        <f aca="false">0</f>
        <v>0</v>
      </c>
      <c r="W14" s="102" t="n">
        <f aca="false">0</f>
        <v>0</v>
      </c>
      <c r="X14" s="102" t="n">
        <f aca="false">0</f>
        <v>0</v>
      </c>
      <c r="Y14" s="102" t="n">
        <f aca="false">0</f>
        <v>0</v>
      </c>
    </row>
    <row r="15" customFormat="false" ht="15" hidden="false" customHeight="false" outlineLevel="0" collapsed="false">
      <c r="A15" s="103" t="s">
        <v>308</v>
      </c>
      <c r="B15" s="104" t="n">
        <f aca="false">B5+B6-B9-B12-B13-B14</f>
        <v>914466.025641026</v>
      </c>
      <c r="C15" s="104" t="n">
        <f aca="false">C5+C6-C9-C12-C13-C14</f>
        <v>-50296.7948717948</v>
      </c>
      <c r="D15" s="104" t="n">
        <f aca="false">D5+D6-D9-D12-D13-D14</f>
        <v>-45035.5769230768</v>
      </c>
      <c r="E15" s="104" t="n">
        <f aca="false">E5+E6-E9-E12-E13-E14</f>
        <v>-39814.423076923</v>
      </c>
      <c r="F15" s="104" t="n">
        <f aca="false">F5+F6-F9-F12-F13-F14</f>
        <v>-32606.0897435896</v>
      </c>
      <c r="G15" s="104" t="n">
        <f aca="false">G5+G6-G9-G12-G13-G14</f>
        <v>-29700.6410256408</v>
      </c>
      <c r="H15" s="104" t="n">
        <f aca="false">H5+H6-H9-H12-H13-H14</f>
        <v>-30269.2307692305</v>
      </c>
      <c r="I15" s="104" t="n">
        <f aca="false">I5+I6-I9-I12-I13-I14</f>
        <v>-19471.1538461534</v>
      </c>
      <c r="J15" s="104" t="n">
        <f aca="false">J5+J6-J9-J12-J13-J14</f>
        <v>3626.60256410316</v>
      </c>
      <c r="K15" s="104" t="n">
        <f aca="false">K5+K6-K9-K12-K13-K14</f>
        <v>21075.3205128213</v>
      </c>
      <c r="L15" s="104" t="n">
        <f aca="false">L5+L6-L9-L12-L13-L14</f>
        <v>48139.4230769241</v>
      </c>
      <c r="M15" s="104" t="n">
        <f aca="false">M5+M6-M9-M12-M13-M14</f>
        <v>63160.2564102577</v>
      </c>
      <c r="N15" s="104" t="n">
        <f aca="false">N5+N6-N9-N12-N13-N14</f>
        <v>106762.820512822</v>
      </c>
      <c r="O15" s="104" t="n">
        <f aca="false">O5+O6-O9-O12-O13-O14</f>
        <v>151959.935897438</v>
      </c>
      <c r="P15" s="104" t="n">
        <f aca="false">P5+P6-P9-P12-P13-P14</f>
        <v>191171.474358976</v>
      </c>
      <c r="Q15" s="104" t="n">
        <f aca="false">Q5+Q6-Q9-Q12-Q13-Q14</f>
        <v>229902.243589746</v>
      </c>
      <c r="R15" s="104" t="n">
        <f aca="false">R5+R6-R9-R12-R13-R14</f>
        <v>273865.384615387</v>
      </c>
      <c r="S15" s="104" t="n">
        <f aca="false">S5+S6-S9-S12-S13-S14</f>
        <v>310721.153846157</v>
      </c>
      <c r="T15" s="104" t="n">
        <f aca="false">T5+T6-T9-T12-T13-T14</f>
        <v>348891.025641029</v>
      </c>
      <c r="U15" s="104" t="n">
        <f aca="false">U5+U6-U9-U12-U13-U14</f>
        <v>371203.525641028</v>
      </c>
      <c r="V15" s="104" t="n">
        <f aca="false">V5+V6-V9-V12-V13-V14</f>
        <v>380014.423076926</v>
      </c>
      <c r="W15" s="104" t="n">
        <f aca="false">W5+W6-W9-W12-W13-W14</f>
        <v>390812.500000003</v>
      </c>
      <c r="X15" s="104" t="n">
        <f aca="false">X5+X6-X9-X12-X13-X14</f>
        <v>399663.461538465</v>
      </c>
      <c r="Y15" s="104" t="n">
        <f aca="false">Y5+Y6-Y9-Y12-Y13-Y14</f>
        <v>415541.66666667</v>
      </c>
    </row>
    <row r="16" customFormat="false" ht="15" hidden="false" customHeight="false" outlineLevel="0" collapsed="false">
      <c r="A16" s="103" t="s">
        <v>309</v>
      </c>
      <c r="B16" s="104" t="n">
        <f aca="false">B4+B15</f>
        <v>914466.025641026</v>
      </c>
      <c r="C16" s="104" t="n">
        <f aca="false">C4+C15</f>
        <v>864169.230769231</v>
      </c>
      <c r="D16" s="104" t="n">
        <f aca="false">D4+D15</f>
        <v>819133.653846154</v>
      </c>
      <c r="E16" s="104" t="n">
        <f aca="false">E4+E15</f>
        <v>779319.230769231</v>
      </c>
      <c r="F16" s="104" t="n">
        <f aca="false">F4+F15</f>
        <v>746713.141025642</v>
      </c>
      <c r="G16" s="104" t="n">
        <f aca="false">G4+G15</f>
        <v>717012.500000001</v>
      </c>
      <c r="H16" s="104" t="n">
        <f aca="false">H4+H15</f>
        <v>686743.26923077</v>
      </c>
      <c r="I16" s="104" t="n">
        <f aca="false">I4+I15</f>
        <v>667272.115384617</v>
      </c>
      <c r="J16" s="104" t="n">
        <f aca="false">J4+J15</f>
        <v>670898.71794872</v>
      </c>
      <c r="K16" s="104" t="n">
        <f aca="false">K4+K15</f>
        <v>691974.038461541</v>
      </c>
      <c r="L16" s="104" t="n">
        <f aca="false">L4+L15</f>
        <v>740113.461538465</v>
      </c>
      <c r="M16" s="104" t="n">
        <f aca="false">M4+M15</f>
        <v>803273.717948723</v>
      </c>
      <c r="N16" s="104" t="n">
        <f aca="false">N4+N15</f>
        <v>910036.538461545</v>
      </c>
      <c r="O16" s="104" t="n">
        <f aca="false">O4+O15</f>
        <v>1061996.47435898</v>
      </c>
      <c r="P16" s="104" t="n">
        <f aca="false">P4+P15</f>
        <v>1253167.94871796</v>
      </c>
      <c r="Q16" s="104" t="n">
        <f aca="false">Q4+Q15</f>
        <v>1483070.19230771</v>
      </c>
      <c r="R16" s="104" t="n">
        <f aca="false">R4+R15</f>
        <v>1756935.57692309</v>
      </c>
      <c r="S16" s="104" t="n">
        <f aca="false">S4+S15</f>
        <v>2067656.73076925</v>
      </c>
      <c r="T16" s="104" t="n">
        <f aca="false">T4+T15</f>
        <v>2416547.75641028</v>
      </c>
      <c r="U16" s="104" t="n">
        <f aca="false">U4+U15</f>
        <v>2787751.28205131</v>
      </c>
      <c r="V16" s="104" t="n">
        <f aca="false">V4+V15</f>
        <v>3167765.70512823</v>
      </c>
      <c r="W16" s="104" t="n">
        <f aca="false">W4+W15</f>
        <v>3558578.20512824</v>
      </c>
      <c r="X16" s="104" t="n">
        <f aca="false">X4+X15</f>
        <v>3958241.6666667</v>
      </c>
      <c r="Y16" s="104" t="n">
        <f aca="false">Y4+Y15</f>
        <v>4373783.33333337</v>
      </c>
    </row>
    <row r="17" customFormat="false" ht="15" hidden="false" customHeight="false" outlineLevel="0" collapsed="false">
      <c r="A17" s="95" t="s">
        <v>310</v>
      </c>
      <c r="B17" s="102" t="n">
        <f aca="false">Assumptions!$B$33</f>
        <v>28846.1538461538</v>
      </c>
      <c r="C17" s="102" t="n">
        <f aca="false">Assumptions!$B$33</f>
        <v>28846.1538461538</v>
      </c>
      <c r="D17" s="102" t="n">
        <f aca="false">Assumptions!$B$33</f>
        <v>28846.1538461538</v>
      </c>
      <c r="E17" s="102" t="n">
        <f aca="false">Assumptions!$B$33</f>
        <v>28846.1538461538</v>
      </c>
      <c r="F17" s="102" t="n">
        <f aca="false">Assumptions!$B$33</f>
        <v>28846.1538461538</v>
      </c>
      <c r="G17" s="102" t="n">
        <f aca="false">Assumptions!$B$33</f>
        <v>28846.1538461538</v>
      </c>
      <c r="H17" s="102" t="n">
        <f aca="false">Assumptions!$B$33</f>
        <v>28846.1538461538</v>
      </c>
      <c r="I17" s="102" t="n">
        <f aca="false">Assumptions!$B$33</f>
        <v>28846.1538461538</v>
      </c>
      <c r="J17" s="102" t="n">
        <f aca="false">Assumptions!$B$33</f>
        <v>28846.1538461538</v>
      </c>
      <c r="K17" s="102" t="n">
        <f aca="false">Assumptions!$B$33</f>
        <v>28846.1538461538</v>
      </c>
      <c r="L17" s="102" t="n">
        <f aca="false">Assumptions!$B$33</f>
        <v>28846.1538461538</v>
      </c>
      <c r="M17" s="102" t="n">
        <f aca="false">Assumptions!$B$33</f>
        <v>28846.1538461538</v>
      </c>
      <c r="N17" s="102" t="n">
        <f aca="false">Assumptions!$B$33</f>
        <v>28846.1538461538</v>
      </c>
      <c r="O17" s="102" t="n">
        <f aca="false">Assumptions!$B$33</f>
        <v>28846.1538461538</v>
      </c>
      <c r="P17" s="102" t="n">
        <f aca="false">Assumptions!$B$33</f>
        <v>28846.1538461538</v>
      </c>
      <c r="Q17" s="102" t="n">
        <f aca="false">Assumptions!$B$33</f>
        <v>28846.1538461538</v>
      </c>
      <c r="R17" s="102" t="n">
        <f aca="false">Assumptions!$B$33</f>
        <v>28846.1538461538</v>
      </c>
      <c r="S17" s="102" t="n">
        <f aca="false">Assumptions!$B$33</f>
        <v>28846.1538461538</v>
      </c>
      <c r="T17" s="102" t="n">
        <f aca="false">Assumptions!$B$33</f>
        <v>28846.1538461538</v>
      </c>
      <c r="U17" s="102" t="n">
        <f aca="false">Assumptions!$B$33</f>
        <v>28846.1538461538</v>
      </c>
      <c r="V17" s="102" t="n">
        <f aca="false">Assumptions!$B$33</f>
        <v>28846.1538461538</v>
      </c>
      <c r="W17" s="102" t="n">
        <f aca="false">Assumptions!$B$33</f>
        <v>28846.1538461538</v>
      </c>
      <c r="X17" s="102" t="n">
        <f aca="false">Assumptions!$B$33</f>
        <v>28846.1538461538</v>
      </c>
      <c r="Y17" s="102" t="n">
        <f aca="false">Assumptions!$B$33</f>
        <v>28846.1538461538</v>
      </c>
    </row>
    <row r="18" customFormat="false" ht="15" hidden="false" customHeight="false" outlineLevel="0" collapsed="false">
      <c r="A18" s="95" t="s">
        <v>311</v>
      </c>
      <c r="B18" s="102" t="n">
        <f aca="false">B16-B17</f>
        <v>885619.871794872</v>
      </c>
      <c r="C18" s="102" t="n">
        <f aca="false">C16-C17</f>
        <v>835323.076923077</v>
      </c>
      <c r="D18" s="102" t="n">
        <f aca="false">D16-D17</f>
        <v>790287.5</v>
      </c>
      <c r="E18" s="102" t="n">
        <f aca="false">E16-E17</f>
        <v>750473.076923077</v>
      </c>
      <c r="F18" s="102" t="n">
        <f aca="false">F16-F17</f>
        <v>717866.987179488</v>
      </c>
      <c r="G18" s="102" t="n">
        <f aca="false">G16-G17</f>
        <v>688166.346153847</v>
      </c>
      <c r="H18" s="102" t="n">
        <f aca="false">H16-H17</f>
        <v>657897.115384616</v>
      </c>
      <c r="I18" s="102" t="n">
        <f aca="false">I16-I17</f>
        <v>638425.961538463</v>
      </c>
      <c r="J18" s="102" t="n">
        <f aca="false">J16-J17</f>
        <v>642052.564102566</v>
      </c>
      <c r="K18" s="102" t="n">
        <f aca="false">K16-K17</f>
        <v>663127.884615387</v>
      </c>
      <c r="L18" s="102" t="n">
        <f aca="false">L16-L17</f>
        <v>711267.307692312</v>
      </c>
      <c r="M18" s="102" t="n">
        <f aca="false">M16-M17</f>
        <v>774427.564102569</v>
      </c>
      <c r="N18" s="102" t="n">
        <f aca="false">N16-N17</f>
        <v>881190.384615391</v>
      </c>
      <c r="O18" s="102" t="n">
        <f aca="false">O16-O17</f>
        <v>1033150.32051283</v>
      </c>
      <c r="P18" s="102" t="n">
        <f aca="false">P16-P17</f>
        <v>1224321.79487181</v>
      </c>
      <c r="Q18" s="102" t="n">
        <f aca="false">Q16-Q17</f>
        <v>1454224.03846155</v>
      </c>
      <c r="R18" s="102" t="n">
        <f aca="false">R16-R17</f>
        <v>1728089.42307694</v>
      </c>
      <c r="S18" s="102" t="n">
        <f aca="false">S16-S17</f>
        <v>2038810.5769231</v>
      </c>
      <c r="T18" s="102" t="n">
        <f aca="false">T16-T17</f>
        <v>2387701.60256412</v>
      </c>
      <c r="U18" s="102" t="n">
        <f aca="false">U16-U17</f>
        <v>2758905.12820515</v>
      </c>
      <c r="V18" s="102" t="n">
        <f aca="false">V16-V17</f>
        <v>3138919.55128208</v>
      </c>
      <c r="W18" s="102" t="n">
        <f aca="false">W16-W17</f>
        <v>3529732.05128208</v>
      </c>
      <c r="X18" s="102" t="n">
        <f aca="false">X16-X17</f>
        <v>3929395.51282055</v>
      </c>
      <c r="Y18" s="102" t="n">
        <f aca="false">Y16-Y17</f>
        <v>4344937.17948722</v>
      </c>
    </row>
    <row r="19" customFormat="false" ht="15" hidden="false" customHeight="false" outlineLevel="0" collapsed="false">
      <c r="A19" s="105" t="s">
        <v>312</v>
      </c>
      <c r="B19" s="105" t="str">
        <f aca="false">IF(B18&gt;=0,"OK","BELOW BUFFER")</f>
        <v>OK</v>
      </c>
      <c r="C19" s="105" t="str">
        <f aca="false">IF(C18&gt;=0,"OK","BELOW BUFFER")</f>
        <v>OK</v>
      </c>
      <c r="D19" s="105" t="str">
        <f aca="false">IF(D18&gt;=0,"OK","BELOW BUFFER")</f>
        <v>OK</v>
      </c>
      <c r="E19" s="105" t="str">
        <f aca="false">IF(E18&gt;=0,"OK","BELOW BUFFER")</f>
        <v>OK</v>
      </c>
      <c r="F19" s="105" t="str">
        <f aca="false">IF(F18&gt;=0,"OK","BELOW BUFFER")</f>
        <v>OK</v>
      </c>
      <c r="G19" s="105" t="str">
        <f aca="false">IF(G18&gt;=0,"OK","BELOW BUFFER")</f>
        <v>OK</v>
      </c>
      <c r="H19" s="105" t="str">
        <f aca="false">IF(H18&gt;=0,"OK","BELOW BUFFER")</f>
        <v>OK</v>
      </c>
      <c r="I19" s="105" t="str">
        <f aca="false">IF(I18&gt;=0,"OK","BELOW BUFFER")</f>
        <v>OK</v>
      </c>
      <c r="J19" s="105" t="str">
        <f aca="false">IF(J18&gt;=0,"OK","BELOW BUFFER")</f>
        <v>OK</v>
      </c>
      <c r="K19" s="105" t="str">
        <f aca="false">IF(K18&gt;=0,"OK","BELOW BUFFER")</f>
        <v>OK</v>
      </c>
      <c r="L19" s="105" t="str">
        <f aca="false">IF(L18&gt;=0,"OK","BELOW BUFFER")</f>
        <v>OK</v>
      </c>
      <c r="M19" s="105" t="str">
        <f aca="false">IF(M18&gt;=0,"OK","BELOW BUFFER")</f>
        <v>OK</v>
      </c>
      <c r="N19" s="105" t="str">
        <f aca="false">IF(N18&gt;=0,"OK","BELOW BUFFER")</f>
        <v>OK</v>
      </c>
      <c r="O19" s="105" t="str">
        <f aca="false">IF(O18&gt;=0,"OK","BELOW BUFFER")</f>
        <v>OK</v>
      </c>
      <c r="P19" s="105" t="str">
        <f aca="false">IF(P18&gt;=0,"OK","BELOW BUFFER")</f>
        <v>OK</v>
      </c>
      <c r="Q19" s="105" t="str">
        <f aca="false">IF(Q18&gt;=0,"OK","BELOW BUFFER")</f>
        <v>OK</v>
      </c>
      <c r="R19" s="105" t="str">
        <f aca="false">IF(R18&gt;=0,"OK","BELOW BUFFER")</f>
        <v>OK</v>
      </c>
      <c r="S19" s="105" t="str">
        <f aca="false">IF(S18&gt;=0,"OK","BELOW BUFFER")</f>
        <v>OK</v>
      </c>
      <c r="T19" s="105" t="str">
        <f aca="false">IF(T18&gt;=0,"OK","BELOW BUFFER")</f>
        <v>OK</v>
      </c>
      <c r="U19" s="105" t="str">
        <f aca="false">IF(U18&gt;=0,"OK","BELOW BUFFER")</f>
        <v>OK</v>
      </c>
      <c r="V19" s="105" t="str">
        <f aca="false">IF(V18&gt;=0,"OK","BELOW BUFFER")</f>
        <v>OK</v>
      </c>
      <c r="W19" s="105" t="str">
        <f aca="false">IF(W18&gt;=0,"OK","BELOW BUFFER")</f>
        <v>OK</v>
      </c>
      <c r="X19" s="105" t="str">
        <f aca="false">IF(X18&gt;=0,"OK","BELOW BUFFER")</f>
        <v>OK</v>
      </c>
      <c r="Y19" s="105" t="str">
        <f aca="false">IF(Y18&gt;=0,"OK","BELOW BUFFER")</f>
        <v>OK</v>
      </c>
    </row>
    <row r="21" customFormat="false" ht="15" hidden="false" customHeight="false" outlineLevel="0" collapsed="false">
      <c r="A21" s="10" t="s">
        <v>313</v>
      </c>
      <c r="B21" s="12" t="s">
        <v>314</v>
      </c>
    </row>
    <row r="22" customFormat="false" ht="15" hidden="false" customHeight="false" outlineLevel="0" collapsed="false">
      <c r="A22" s="0" t="s">
        <v>315</v>
      </c>
      <c r="B22" s="13" t="n">
        <f aca="false">MIN(B16:Y16)</f>
        <v>667272.115384617</v>
      </c>
    </row>
    <row r="23" customFormat="false" ht="15" hidden="false" customHeight="false" outlineLevel="0" collapsed="false">
      <c r="A23" s="0" t="s">
        <v>316</v>
      </c>
      <c r="B23" s="13" t="n">
        <f aca="false">Y16</f>
        <v>4373783.33333337</v>
      </c>
    </row>
    <row r="24" customFormat="false" ht="15" hidden="false" customHeight="false" outlineLevel="0" collapsed="false">
      <c r="A24" s="0" t="s">
        <v>317</v>
      </c>
      <c r="B24" s="13" t="n">
        <f aca="false">MAX(B9:Y9)+MAX(B12:Y12)</f>
        <v>87788.4615384615</v>
      </c>
    </row>
    <row r="25" customFormat="false" ht="15" hidden="false" customHeight="false" outlineLevel="0" collapsed="false">
      <c r="A25" s="0" t="s">
        <v>318</v>
      </c>
      <c r="B25" s="13" t="n">
        <f aca="false">MAX(0,Assumptions!$B$33-B22)</f>
        <v>0</v>
      </c>
    </row>
  </sheetData>
  <mergeCells count="2">
    <mergeCell ref="A1:Y1"/>
    <mergeCell ref="A2:Y2"/>
  </mergeCells>
  <conditionalFormatting sqref="B19:Y19">
    <cfRule type="containsText" priority="2" operator="containsText" aboveAverage="0" equalAverage="0" bottom="0" percent="0" rank="0" text="OK" dxfId="0">
      <formula>NOT(ISERROR(SEARCH("OK",B19)))</formula>
    </cfRule>
    <cfRule type="containsText" priority="3" operator="containsText" aboveAverage="0" equalAverage="0" bottom="0" percent="0" rank="0" text="OPEN" dxfId="1">
      <formula>NOT(ISERROR(SEARCH("OPEN",B19)))</formula>
    </cfRule>
    <cfRule type="containsText" priority="4" operator="containsText" aboveAverage="0" equalAverage="0" bottom="0" percent="0" rank="0" text="REVIEW" dxfId="2">
      <formula>NOT(ISERROR(SEARCH("REVIEW",B19)))</formula>
    </cfRule>
    <cfRule type="containsText" priority="5" operator="containsText" aboveAverage="0" equalAverage="0" bottom="0" percent="0" rank="0" text="BELOW" dxfId="3">
      <formula>NOT(ISERROR(SEARCH("BELOW",B19)))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5" min="2" style="0" width="12"/>
  </cols>
  <sheetData>
    <row r="1" customFormat="false" ht="30" hidden="false" customHeight="true" outlineLevel="0" collapsed="false">
      <c r="A1" s="87" t="s">
        <v>319</v>
      </c>
      <c r="B1" s="87" t="s">
        <v>319</v>
      </c>
      <c r="C1" s="87" t="s">
        <v>319</v>
      </c>
      <c r="D1" s="87" t="s">
        <v>319</v>
      </c>
      <c r="E1" s="87" t="s">
        <v>319</v>
      </c>
    </row>
    <row r="2" customFormat="false" ht="28.35" hidden="false" customHeight="true" outlineLevel="0" collapsed="false">
      <c r="A2" s="88" t="s">
        <v>320</v>
      </c>
      <c r="B2" s="88"/>
      <c r="C2" s="88"/>
      <c r="D2" s="88"/>
      <c r="E2" s="88"/>
    </row>
    <row r="4" customFormat="false" ht="15" hidden="false" customHeight="false" outlineLevel="0" collapsed="false">
      <c r="A4" s="10" t="s">
        <v>321</v>
      </c>
      <c r="B4" s="11" t="s">
        <v>322</v>
      </c>
      <c r="C4" s="11" t="s">
        <v>204</v>
      </c>
      <c r="D4" s="11" t="s">
        <v>205</v>
      </c>
      <c r="E4" s="12" t="s">
        <v>323</v>
      </c>
    </row>
    <row r="5" customFormat="false" ht="15" hidden="false" customHeight="false" outlineLevel="0" collapsed="false">
      <c r="A5" s="100" t="s">
        <v>324</v>
      </c>
      <c r="B5" s="106" t="n">
        <v>0.35</v>
      </c>
      <c r="C5" s="106" t="n">
        <v>0.65</v>
      </c>
      <c r="D5" s="106" t="n">
        <v>1</v>
      </c>
      <c r="E5" s="106" t="n">
        <v>1.684</v>
      </c>
    </row>
    <row r="6" customFormat="false" ht="15" hidden="false" customHeight="false" outlineLevel="0" collapsed="false">
      <c r="A6" s="95" t="s">
        <v>325</v>
      </c>
      <c r="B6" s="107" t="n">
        <v>0.6</v>
      </c>
      <c r="C6" s="107" t="n">
        <v>0.8</v>
      </c>
      <c r="D6" s="107" t="n">
        <v>1</v>
      </c>
      <c r="E6" s="107" t="n">
        <v>1.684</v>
      </c>
    </row>
    <row r="7" customFormat="false" ht="15" hidden="false" customHeight="false" outlineLevel="0" collapsed="false">
      <c r="A7" s="95" t="s">
        <v>72</v>
      </c>
      <c r="B7" s="107" t="n">
        <v>0.26</v>
      </c>
      <c r="C7" s="107" t="n">
        <v>0.3</v>
      </c>
      <c r="D7" s="107" t="n">
        <v>0.32</v>
      </c>
      <c r="E7" s="107" t="n">
        <v>0.38</v>
      </c>
    </row>
    <row r="8" customFormat="false" ht="15" hidden="false" customHeight="false" outlineLevel="0" collapsed="false">
      <c r="A8" s="95" t="s">
        <v>79</v>
      </c>
      <c r="B8" s="107" t="n">
        <v>0.4</v>
      </c>
      <c r="C8" s="107" t="n">
        <v>0.42</v>
      </c>
      <c r="D8" s="107" t="n">
        <v>0.45</v>
      </c>
      <c r="E8" s="107" t="n">
        <v>0.45</v>
      </c>
    </row>
    <row r="9" customFormat="false" ht="15" hidden="false" customHeight="false" outlineLevel="0" collapsed="false">
      <c r="A9" s="95" t="s">
        <v>326</v>
      </c>
      <c r="B9" s="107" t="n">
        <v>1.1</v>
      </c>
      <c r="C9" s="107" t="n">
        <v>1.05</v>
      </c>
      <c r="D9" s="107" t="n">
        <v>1</v>
      </c>
      <c r="E9" s="107" t="n">
        <v>1.25</v>
      </c>
    </row>
    <row r="10" customFormat="false" ht="15" hidden="false" customHeight="false" outlineLevel="0" collapsed="false">
      <c r="A10" s="95" t="s">
        <v>87</v>
      </c>
      <c r="B10" s="108" t="n">
        <v>3</v>
      </c>
      <c r="C10" s="108" t="n">
        <v>2</v>
      </c>
      <c r="D10" s="108" t="n">
        <v>2</v>
      </c>
      <c r="E10" s="108" t="n">
        <v>2</v>
      </c>
    </row>
    <row r="11" customFormat="false" ht="15" hidden="false" customHeight="false" outlineLevel="0" collapsed="false">
      <c r="A11" s="105" t="s">
        <v>89</v>
      </c>
      <c r="B11" s="109" t="n">
        <v>2</v>
      </c>
      <c r="C11" s="109" t="n">
        <v>1</v>
      </c>
      <c r="D11" s="109" t="n">
        <v>1</v>
      </c>
      <c r="E11" s="109" t="n">
        <v>1</v>
      </c>
    </row>
    <row r="13" customFormat="false" ht="15" hidden="false" customHeight="false" outlineLevel="0" collapsed="false">
      <c r="A13" s="10" t="s">
        <v>327</v>
      </c>
      <c r="B13" s="11" t="s">
        <v>322</v>
      </c>
      <c r="C13" s="11" t="s">
        <v>204</v>
      </c>
      <c r="D13" s="11" t="s">
        <v>205</v>
      </c>
      <c r="E13" s="12" t="s">
        <v>323</v>
      </c>
    </row>
    <row r="14" customFormat="false" ht="15" hidden="false" customHeight="false" outlineLevel="0" collapsed="false">
      <c r="A14" s="100" t="s">
        <v>328</v>
      </c>
      <c r="B14" s="101" t="n">
        <f aca="false">'Monthly P&amp;L'!$AB$9*B$5+'Monthly P&amp;L'!$AB$10*B$6</f>
        <v>3919300.48076923</v>
      </c>
      <c r="C14" s="101" t="n">
        <f aca="false">'Monthly P&amp;L'!$AB$9*C$5+'Monthly P&amp;L'!$AB$10*C$6</f>
        <v>6985689.90384616</v>
      </c>
      <c r="D14" s="101" t="n">
        <f aca="false">'Monthly P&amp;L'!$AB$9*D$5+'Monthly P&amp;L'!$AB$10*D$6</f>
        <v>10532067.3076923</v>
      </c>
      <c r="E14" s="101" t="n">
        <f aca="false">'Monthly P&amp;L'!$AB$9*E$5+'Monthly P&amp;L'!$AB$10*E$6</f>
        <v>17736001.3461538</v>
      </c>
    </row>
    <row r="15" customFormat="false" ht="15" hidden="false" customHeight="false" outlineLevel="0" collapsed="false">
      <c r="A15" s="95" t="s">
        <v>329</v>
      </c>
      <c r="B15" s="102" t="n">
        <f aca="false">'Monthly P&amp;L'!$AB$9*B$5*B$7+'Monthly P&amp;L'!$AB$10*B$6*B$8</f>
        <v>1097331.97115385</v>
      </c>
      <c r="C15" s="102" t="n">
        <f aca="false">'Monthly P&amp;L'!$AB$9*C$5*C$7+'Monthly P&amp;L'!$AB$10*C$6*C$8</f>
        <v>2185208.50961539</v>
      </c>
      <c r="D15" s="102" t="n">
        <f aca="false">'Monthly P&amp;L'!$AB$9*D$5*D$7+'Monthly P&amp;L'!$AB$10*D$6*D$8</f>
        <v>3491461.53846154</v>
      </c>
      <c r="E15" s="102" t="n">
        <f aca="false">'Monthly P&amp;L'!$AB$9*E$5*E$7+'Monthly P&amp;L'!$AB$10*E$6*E$8</f>
        <v>6849580.94230769</v>
      </c>
    </row>
    <row r="16" customFormat="false" ht="15" hidden="false" customHeight="false" outlineLevel="0" collapsed="false">
      <c r="A16" s="95" t="s">
        <v>330</v>
      </c>
      <c r="B16" s="102" t="n">
        <f aca="false">'Monthly P&amp;L'!$AB$15*B$9</f>
        <v>1318680</v>
      </c>
      <c r="C16" s="102" t="n">
        <f aca="false">'Monthly P&amp;L'!$AB$15*C$9</f>
        <v>1258740</v>
      </c>
      <c r="D16" s="102" t="n">
        <f aca="false">'Monthly P&amp;L'!$AB$15*D$9</f>
        <v>1198800</v>
      </c>
      <c r="E16" s="102" t="n">
        <f aca="false">'Monthly P&amp;L'!$AB$15*E$9</f>
        <v>1498500</v>
      </c>
    </row>
    <row r="17" customFormat="false" ht="15" hidden="false" customHeight="false" outlineLevel="0" collapsed="false">
      <c r="A17" s="95" t="s">
        <v>331</v>
      </c>
      <c r="B17" s="102" t="n">
        <f aca="false">B15-B16</f>
        <v>-221348.028846154</v>
      </c>
      <c r="C17" s="102" t="n">
        <f aca="false">C15-C16</f>
        <v>926468.509615385</v>
      </c>
      <c r="D17" s="102" t="n">
        <f aca="false">D15-D16</f>
        <v>2292661.53846154</v>
      </c>
      <c r="E17" s="102" t="n">
        <f aca="false">E15-E16</f>
        <v>5351080.94230769</v>
      </c>
    </row>
    <row r="18" customFormat="false" ht="15" hidden="false" customHeight="false" outlineLevel="0" collapsed="false">
      <c r="A18" s="95" t="s">
        <v>209</v>
      </c>
      <c r="B18" s="110" t="n">
        <f aca="false">IFERROR(B17/B14,0)</f>
        <v>-0.0564764120363413</v>
      </c>
      <c r="C18" s="110" t="n">
        <f aca="false">IFERROR(C17/C14,0)</f>
        <v>0.132623766924623</v>
      </c>
      <c r="D18" s="110" t="n">
        <f aca="false">IFERROR(D17/D14,0)</f>
        <v>0.217683904924064</v>
      </c>
      <c r="E18" s="110" t="n">
        <f aca="false">IFERROR(E17/E14,0)</f>
        <v>0.301707292296079</v>
      </c>
    </row>
    <row r="19" customFormat="false" ht="15" hidden="false" customHeight="false" outlineLevel="0" collapsed="false">
      <c r="A19" s="95" t="s">
        <v>20</v>
      </c>
      <c r="B19" s="102" t="n">
        <f aca="false">('Monthly P&amp;L'!$Y$9*B$5+'Monthly P&amp;L'!$Y$10*B$6)*12</f>
        <v>3947596.15384615</v>
      </c>
      <c r="C19" s="102" t="n">
        <f aca="false">('Monthly P&amp;L'!$Y$9*C$5+'Monthly P&amp;L'!$Y$10*C$6)*12</f>
        <v>7077403.84615385</v>
      </c>
      <c r="D19" s="102" t="n">
        <f aca="false">('Monthly P&amp;L'!$Y$9*D$5+'Monthly P&amp;L'!$Y$10*D$6)*12</f>
        <v>10701923.0769231</v>
      </c>
      <c r="E19" s="102" t="n">
        <f aca="false">('Monthly P&amp;L'!$Y$9*E$5+'Monthly P&amp;L'!$Y$10*E$6)*12</f>
        <v>18022038.4615385</v>
      </c>
    </row>
    <row r="20" customFormat="false" ht="15" hidden="false" customHeight="false" outlineLevel="0" collapsed="false">
      <c r="A20" s="95" t="s">
        <v>332</v>
      </c>
      <c r="B20" s="111" t="n">
        <f aca="false">'Monthly P&amp;L'!$Y$5*B$5</f>
        <v>171.5</v>
      </c>
      <c r="C20" s="111" t="n">
        <f aca="false">'Monthly P&amp;L'!$Y$5*C$5</f>
        <v>318.5</v>
      </c>
      <c r="D20" s="111" t="n">
        <f aca="false">'Monthly P&amp;L'!$Y$5*D$5</f>
        <v>490</v>
      </c>
      <c r="E20" s="111" t="n">
        <f aca="false">'Monthly P&amp;L'!$Y$5*E$5</f>
        <v>825.16</v>
      </c>
    </row>
    <row r="21" customFormat="false" ht="15" hidden="false" customHeight="false" outlineLevel="0" collapsed="false">
      <c r="A21" s="95" t="s">
        <v>333</v>
      </c>
      <c r="B21" s="111" t="n">
        <f aca="false">IFERROR(B20/'Monthly P&amp;L'!$Y$4,0)</f>
        <v>5.359375</v>
      </c>
      <c r="C21" s="111" t="n">
        <f aca="false">IFERROR(C20/'Monthly P&amp;L'!$Y$4,0)</f>
        <v>9.953125</v>
      </c>
      <c r="D21" s="111" t="n">
        <f aca="false">IFERROR(D20/'Monthly P&amp;L'!$Y$4,0)</f>
        <v>15.3125</v>
      </c>
      <c r="E21" s="111" t="n">
        <f aca="false">IFERROR(E20/'Monthly P&amp;L'!$Y$4,0)</f>
        <v>25.78625</v>
      </c>
    </row>
    <row r="22" customFormat="false" ht="15" hidden="false" customHeight="false" outlineLevel="0" collapsed="false">
      <c r="A22" s="95" t="s">
        <v>334</v>
      </c>
      <c r="B22" s="110" t="n">
        <f aca="false">IFERROR(B20/('Monthly P&amp;L'!$Y$4*Assumptions!$B$34),0)</f>
        <v>0.26796875</v>
      </c>
      <c r="C22" s="110" t="n">
        <f aca="false">IFERROR(C20/('Monthly P&amp;L'!$Y$4*Assumptions!$B$34),0)</f>
        <v>0.49765625</v>
      </c>
      <c r="D22" s="110" t="n">
        <f aca="false">IFERROR(D20/('Monthly P&amp;L'!$Y$4*Assumptions!$B$34),0)</f>
        <v>0.765625</v>
      </c>
      <c r="E22" s="110" t="n">
        <f aca="false">IFERROR(E20/('Monthly P&amp;L'!$Y$4*Assumptions!$B$34),0)</f>
        <v>1.2893125</v>
      </c>
    </row>
    <row r="23" customFormat="false" ht="15" hidden="false" customHeight="false" outlineLevel="0" collapsed="false">
      <c r="A23" s="95" t="s">
        <v>335</v>
      </c>
      <c r="B23" s="102" t="n">
        <f aca="false">MIN(B34:Y34)</f>
        <v>-292077.35576923</v>
      </c>
      <c r="C23" s="102" t="n">
        <f aca="false">MIN(B42:Y42)</f>
        <v>108065.096153846</v>
      </c>
      <c r="D23" s="102" t="n">
        <f aca="false">MIN(B50:Y50)</f>
        <v>176137.5</v>
      </c>
      <c r="E23" s="102" t="n">
        <f aca="false">MIN(B58:Y58)</f>
        <v>166925.923076923</v>
      </c>
    </row>
    <row r="24" customFormat="false" ht="15" hidden="false" customHeight="false" outlineLevel="0" collapsed="false">
      <c r="A24" s="95" t="s">
        <v>336</v>
      </c>
      <c r="B24" s="102" t="n">
        <f aca="false">Y34</f>
        <v>-234999.471153846</v>
      </c>
      <c r="C24" s="102" t="n">
        <f aca="false">Y42</f>
        <v>726841.105769231</v>
      </c>
      <c r="D24" s="102" t="n">
        <f aca="false">Y50</f>
        <v>1502998.07692308</v>
      </c>
      <c r="E24" s="102" t="n">
        <f aca="false">Y58</f>
        <v>3388587.67307692</v>
      </c>
    </row>
    <row r="25" customFormat="false" ht="15" hidden="false" customHeight="false" outlineLevel="0" collapsed="false">
      <c r="A25" s="95" t="s">
        <v>337</v>
      </c>
      <c r="B25" s="95" t="str">
        <f aca="false">IF(MIN(B35:Y35)=999,"None","M"&amp;MIN(B35:Y35))</f>
        <v>M15</v>
      </c>
      <c r="C25" s="95" t="str">
        <f aca="false">IF(MIN(B43:Y43)=999,"None","M"&amp;MIN(B43:Y43))</f>
        <v>M11</v>
      </c>
      <c r="D25" s="95" t="str">
        <f aca="false">IF(MIN(B51:Y51)=999,"None","M"&amp;MIN(B51:Y51))</f>
        <v>M8</v>
      </c>
      <c r="E25" s="95" t="str">
        <f aca="false">IF(MIN(B59:Y59)=999,"None","M"&amp;MIN(B59:Y59))</f>
        <v>M7</v>
      </c>
    </row>
    <row r="26" customFormat="false" ht="34" hidden="false" customHeight="true" outlineLevel="0" collapsed="false">
      <c r="A26" s="105" t="s">
        <v>338</v>
      </c>
      <c r="B26" s="112" t="str">
        <f aca="false">IF(B23&gt;=Assumptions!$B$33,"OK",IF(B23&gt;=0,"REVIEW: BELOW BUFFER","OPEN: CASH NEGATIVE"))</f>
        <v>OPEN: CASH NEGATIVE</v>
      </c>
      <c r="C26" s="112" t="str">
        <f aca="false">IF(C23&gt;=Assumptions!$B$33,"OK",IF(C23&gt;=0,"REVIEW: BELOW BUFFER","OPEN: CASH NEGATIVE"))</f>
        <v>OK</v>
      </c>
      <c r="D26" s="112" t="str">
        <f aca="false">IF(D23&gt;=Assumptions!$B$33,"OK",IF(D23&gt;=0,"REVIEW: BELOW BUFFER","OPEN: CASH NEGATIVE"))</f>
        <v>OK</v>
      </c>
      <c r="E26" s="112" t="str">
        <f aca="false">IF(E23&gt;=Assumptions!$B$33,"OK",IF(E23&gt;=0,"REVIEW: BELOW BUFFER","OPEN: CASH NEGATIVE"))</f>
        <v>OK</v>
      </c>
    </row>
    <row r="29" customFormat="false" ht="15" hidden="false" customHeight="false" outlineLevel="0" collapsed="false">
      <c r="A29" s="113" t="s">
        <v>339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</row>
    <row r="30" customFormat="false" ht="15" hidden="false" customHeight="false" outlineLevel="0" collapsed="false">
      <c r="A30" s="10" t="s">
        <v>150</v>
      </c>
      <c r="B30" s="11" t="str">
        <f aca="false">'Monthly P&amp;L'!B3</f>
        <v>Jul-26</v>
      </c>
      <c r="C30" s="11" t="str">
        <f aca="false">'Monthly P&amp;L'!C3</f>
        <v>Aug-26</v>
      </c>
      <c r="D30" s="11" t="str">
        <f aca="false">'Monthly P&amp;L'!D3</f>
        <v>Sep-26</v>
      </c>
      <c r="E30" s="11" t="str">
        <f aca="false">'Monthly P&amp;L'!E3</f>
        <v>Oct-26</v>
      </c>
      <c r="F30" s="11" t="str">
        <f aca="false">'Monthly P&amp;L'!F3</f>
        <v>Nov-26</v>
      </c>
      <c r="G30" s="11" t="str">
        <f aca="false">'Monthly P&amp;L'!G3</f>
        <v>Dec-26</v>
      </c>
      <c r="H30" s="11" t="str">
        <f aca="false">'Monthly P&amp;L'!H3</f>
        <v>Jan-27</v>
      </c>
      <c r="I30" s="11" t="str">
        <f aca="false">'Monthly P&amp;L'!I3</f>
        <v>Feb-27</v>
      </c>
      <c r="J30" s="11" t="str">
        <f aca="false">'Monthly P&amp;L'!J3</f>
        <v>Mar-27</v>
      </c>
      <c r="K30" s="11" t="str">
        <f aca="false">'Monthly P&amp;L'!K3</f>
        <v>Apr-27</v>
      </c>
      <c r="L30" s="11" t="str">
        <f aca="false">'Monthly P&amp;L'!L3</f>
        <v>May-27</v>
      </c>
      <c r="M30" s="11" t="str">
        <f aca="false">'Monthly P&amp;L'!M3</f>
        <v>Jun-27</v>
      </c>
      <c r="N30" s="11" t="str">
        <f aca="false">'Monthly P&amp;L'!N3</f>
        <v>Jul-27</v>
      </c>
      <c r="O30" s="11" t="str">
        <f aca="false">'Monthly P&amp;L'!O3</f>
        <v>Aug-27</v>
      </c>
      <c r="P30" s="11" t="str">
        <f aca="false">'Monthly P&amp;L'!P3</f>
        <v>Sep-27</v>
      </c>
      <c r="Q30" s="11" t="str">
        <f aca="false">'Monthly P&amp;L'!Q3</f>
        <v>Oct-27</v>
      </c>
      <c r="R30" s="11" t="str">
        <f aca="false">'Monthly P&amp;L'!R3</f>
        <v>Nov-27</v>
      </c>
      <c r="S30" s="11" t="str">
        <f aca="false">'Monthly P&amp;L'!S3</f>
        <v>Dec-27</v>
      </c>
      <c r="T30" s="11" t="str">
        <f aca="false">'Monthly P&amp;L'!T3</f>
        <v>Jan-28</v>
      </c>
      <c r="U30" s="11" t="str">
        <f aca="false">'Monthly P&amp;L'!U3</f>
        <v>Feb-28</v>
      </c>
      <c r="V30" s="11" t="str">
        <f aca="false">'Monthly P&amp;L'!V3</f>
        <v>Mar-28</v>
      </c>
      <c r="W30" s="11" t="str">
        <f aca="false">'Monthly P&amp;L'!W3</f>
        <v>Apr-28</v>
      </c>
      <c r="X30" s="11" t="str">
        <f aca="false">'Monthly P&amp;L'!X3</f>
        <v>May-28</v>
      </c>
      <c r="Y30" s="12" t="str">
        <f aca="false">'Monthly P&amp;L'!Y3</f>
        <v>Jun-28</v>
      </c>
    </row>
    <row r="31" customFormat="false" ht="15" hidden="false" customHeight="false" outlineLevel="0" collapsed="false">
      <c r="A31" s="114" t="s">
        <v>189</v>
      </c>
      <c r="B31" s="115" t="n">
        <f aca="false">'Monthly P&amp;L'!B9*$B$5*$B$7+'Monthly P&amp;L'!B10*$B$6*$B$8-'Monthly P&amp;L'!B15*$B$9</f>
        <v>-50178.3173076923</v>
      </c>
      <c r="C31" s="115" t="n">
        <f aca="false">'Monthly P&amp;L'!C9*$B$5*$B$7+'Monthly P&amp;L'!C10*$B$6*$B$8-'Monthly P&amp;L'!C15*$B$9</f>
        <v>-48858.8461538462</v>
      </c>
      <c r="D31" s="115" t="n">
        <f aca="false">'Monthly P&amp;L'!D9*$B$5*$B$7+'Monthly P&amp;L'!D10*$B$6*$B$8-'Monthly P&amp;L'!D15*$B$9</f>
        <v>-47423.9903846154</v>
      </c>
      <c r="E31" s="115" t="n">
        <f aca="false">'Monthly P&amp;L'!E9*$B$5*$B$7+'Monthly P&amp;L'!E10*$B$6*$B$8-'Monthly P&amp;L'!E15*$B$9</f>
        <v>-45951.3942307692</v>
      </c>
      <c r="F31" s="115" t="n">
        <f aca="false">'Monthly P&amp;L'!F9*$B$5*$B$7+'Monthly P&amp;L'!F10*$B$6*$B$8-'Monthly P&amp;L'!F15*$B$9</f>
        <v>-44631.9230769231</v>
      </c>
      <c r="G31" s="115" t="n">
        <f aca="false">'Monthly P&amp;L'!G9*$B$5*$B$7+'Monthly P&amp;L'!G10*$B$6*$B$8-'Monthly P&amp;L'!G15*$B$9</f>
        <v>-42737.6923076923</v>
      </c>
      <c r="H31" s="115" t="n">
        <f aca="false">'Monthly P&amp;L'!H9*$B$5*$B$7+'Monthly P&amp;L'!H10*$B$6*$B$8-'Monthly P&amp;L'!H15*$B$9</f>
        <v>-42000.7211538462</v>
      </c>
      <c r="I31" s="115" t="n">
        <f aca="false">'Monthly P&amp;L'!I9*$B$5*$B$7+'Monthly P&amp;L'!I10*$B$6*$B$8-'Monthly P&amp;L'!I15*$B$9</f>
        <v>-37771.875</v>
      </c>
      <c r="J31" s="115" t="n">
        <f aca="false">'Monthly P&amp;L'!J9*$B$5*$B$7+'Monthly P&amp;L'!J10*$B$6*$B$8-'Monthly P&amp;L'!J15*$B$9</f>
        <v>-33580.7692307692</v>
      </c>
      <c r="K31" s="115" t="n">
        <f aca="false">'Monthly P&amp;L'!K9*$B$5*$B$7+'Monthly P&amp;L'!K10*$B$6*$B$8-'Monthly P&amp;L'!K15*$B$9</f>
        <v>-28586.2980769231</v>
      </c>
      <c r="L31" s="115" t="n">
        <f aca="false">'Monthly P&amp;L'!L9*$B$5*$B$7+'Monthly P&amp;L'!L10*$B$6*$B$8-'Monthly P&amp;L'!L15*$B$9</f>
        <v>-23591.8269230769</v>
      </c>
      <c r="M31" s="115" t="n">
        <f aca="false">'Monthly P&amp;L'!M9*$B$5*$B$7+'Monthly P&amp;L'!M10*$B$6*$B$8-'Monthly P&amp;L'!M15*$B$9</f>
        <v>-16185.0961538462</v>
      </c>
      <c r="N31" s="115" t="n">
        <f aca="false">'Monthly P&amp;L'!N9*$B$5*$B$7+'Monthly P&amp;L'!N10*$B$6*$B$8-'Monthly P&amp;L'!N15*$B$9</f>
        <v>-8587.50000000001</v>
      </c>
      <c r="O31" s="115" t="n">
        <f aca="false">'Monthly P&amp;L'!O9*$B$5*$B$7+'Monthly P&amp;L'!O10*$B$6*$B$8-'Monthly P&amp;L'!O15*$B$9</f>
        <v>-1487.01923076924</v>
      </c>
      <c r="P31" s="115" t="n">
        <f aca="false">'Monthly P&amp;L'!P9*$B$5*$B$7+'Monthly P&amp;L'!P10*$B$6*$B$8-'Monthly P&amp;L'!P15*$B$9</f>
        <v>5498.07692307692</v>
      </c>
      <c r="Q31" s="115" t="n">
        <f aca="false">'Monthly P&amp;L'!Q9*$B$5*$B$7+'Monthly P&amp;L'!Q10*$B$6*$B$8-'Monthly P&amp;L'!Q15*$B$9</f>
        <v>12483.1730769231</v>
      </c>
      <c r="R31" s="115" t="n">
        <f aca="false">'Monthly P&amp;L'!R9*$B$5*$B$7+'Monthly P&amp;L'!R10*$B$6*$B$8-'Monthly P&amp;L'!R15*$B$9</f>
        <v>18511.7788461538</v>
      </c>
      <c r="S31" s="115" t="n">
        <f aca="false">'Monthly P&amp;L'!S9*$B$5*$B$7+'Monthly P&amp;L'!S10*$B$6*$B$8-'Monthly P&amp;L'!S15*$B$9</f>
        <v>23659.375</v>
      </c>
      <c r="T31" s="115" t="n">
        <f aca="false">'Monthly P&amp;L'!T9*$B$5*$B$7+'Monthly P&amp;L'!T10*$B$6*$B$8-'Monthly P&amp;L'!T15*$B$9</f>
        <v>26816.3461538462</v>
      </c>
      <c r="U31" s="115" t="n">
        <f aca="false">'Monthly P&amp;L'!U9*$B$5*$B$7+'Monthly P&amp;L'!U10*$B$6*$B$8-'Monthly P&amp;L'!U15*$B$9</f>
        <v>28863.7019230769</v>
      </c>
      <c r="V31" s="115" t="n">
        <f aca="false">'Monthly P&amp;L'!V9*$B$5*$B$7+'Monthly P&amp;L'!V10*$B$6*$B$8-'Monthly P&amp;L'!V15*$B$9</f>
        <v>30948.7980769231</v>
      </c>
      <c r="W31" s="115" t="n">
        <f aca="false">'Monthly P&amp;L'!W9*$B$5*$B$7+'Monthly P&amp;L'!W10*$B$6*$B$8-'Monthly P&amp;L'!W15*$B$9</f>
        <v>32880.7692307692</v>
      </c>
      <c r="X31" s="115" t="n">
        <f aca="false">'Monthly P&amp;L'!X9*$B$5*$B$7+'Monthly P&amp;L'!X10*$B$6*$B$8-'Monthly P&amp;L'!X15*$B$9</f>
        <v>34928.125</v>
      </c>
      <c r="Y31" s="115" t="n">
        <f aca="false">'Monthly P&amp;L'!Y9*$B$5*$B$7+'Monthly P&amp;L'!Y10*$B$6*$B$8-'Monthly P&amp;L'!Y15*$B$9</f>
        <v>35635.0961538462</v>
      </c>
    </row>
    <row r="32" customFormat="false" ht="15" hidden="false" customHeight="false" outlineLevel="0" collapsed="false">
      <c r="A32" s="116" t="s">
        <v>340</v>
      </c>
      <c r="B32" s="117" t="n">
        <f aca="false">'Monthly P&amp;L'!B9*$B$5-IF(COLUMN()-COLUMN($B$32)&lt;$B$10,0,INDEX('Monthly P&amp;L'!$B$9:$Y$9,1,COLUMN()-COLUMN($B$32)+1-$B$10)*$B$5)</f>
        <v>1766.82692307692</v>
      </c>
      <c r="C32" s="117" t="n">
        <f aca="false">'Monthly P&amp;L'!C9*$B$5-IF(COLUMN()-COLUMN($B$32)&lt;$B$10,0,INDEX('Monthly P&amp;L'!$B$9:$Y$9,1,COLUMN()-COLUMN($B$32)+1-$B$10)*$B$5)</f>
        <v>4711.53846153846</v>
      </c>
      <c r="D32" s="117" t="n">
        <f aca="false">'Monthly P&amp;L'!D9*$B$5-IF(COLUMN()-COLUMN($B$32)&lt;$B$10,0,INDEX('Monthly P&amp;L'!$B$9:$Y$9,1,COLUMN()-COLUMN($B$32)+1-$B$10)*$B$5)</f>
        <v>7656.25</v>
      </c>
      <c r="E32" s="117" t="n">
        <f aca="false">'Monthly P&amp;L'!E9*$B$5-IF(COLUMN()-COLUMN($B$32)&lt;$B$10,0,INDEX('Monthly P&amp;L'!$B$9:$Y$9,1,COLUMN()-COLUMN($B$32)+1-$B$10)*$B$5)</f>
        <v>9423.07692307692</v>
      </c>
      <c r="F32" s="117" t="n">
        <f aca="false">'Monthly P&amp;L'!F9*$B$5-IF(COLUMN()-COLUMN($B$32)&lt;$B$10,0,INDEX('Monthly P&amp;L'!$B$9:$Y$9,1,COLUMN()-COLUMN($B$32)+1-$B$10)*$B$5)</f>
        <v>9423.07692307692</v>
      </c>
      <c r="G32" s="117" t="n">
        <f aca="false">'Monthly P&amp;L'!G9*$B$5-IF(COLUMN()-COLUMN($B$32)&lt;$B$10,0,INDEX('Monthly P&amp;L'!$B$9:$Y$9,1,COLUMN()-COLUMN($B$32)+1-$B$10)*$B$5)</f>
        <v>11189.9038461538</v>
      </c>
      <c r="H32" s="117" t="n">
        <f aca="false">'Monthly P&amp;L'!H9*$B$5-IF(COLUMN()-COLUMN($B$32)&lt;$B$10,0,INDEX('Monthly P&amp;L'!$B$9:$Y$9,1,COLUMN()-COLUMN($B$32)+1-$B$10)*$B$5)</f>
        <v>17668.2692307692</v>
      </c>
      <c r="I32" s="117" t="n">
        <f aca="false">'Monthly P&amp;L'!I9*$B$5-IF(COLUMN()-COLUMN($B$32)&lt;$B$10,0,INDEX('Monthly P&amp;L'!$B$9:$Y$9,1,COLUMN()-COLUMN($B$32)+1-$B$10)*$B$5)</f>
        <v>28858.1730769231</v>
      </c>
      <c r="J32" s="117" t="n">
        <f aca="false">'Monthly P&amp;L'!J9*$B$5-IF(COLUMN()-COLUMN($B$32)&lt;$B$10,0,INDEX('Monthly P&amp;L'!$B$9:$Y$9,1,COLUMN()-COLUMN($B$32)+1-$B$10)*$B$5)</f>
        <v>37692.3076923077</v>
      </c>
      <c r="K32" s="117" t="n">
        <f aca="false">'Monthly P&amp;L'!K9*$B$5-IF(COLUMN()-COLUMN($B$32)&lt;$B$10,0,INDEX('Monthly P&amp;L'!$B$9:$Y$9,1,COLUMN()-COLUMN($B$32)+1-$B$10)*$B$5)</f>
        <v>44759.6153846154</v>
      </c>
      <c r="L32" s="117" t="n">
        <f aca="false">'Monthly P&amp;L'!L9*$B$5-IF(COLUMN()-COLUMN($B$32)&lt;$B$10,0,INDEX('Monthly P&amp;L'!$B$9:$Y$9,1,COLUMN()-COLUMN($B$32)+1-$B$10)*$B$5)</f>
        <v>47704.3269230769</v>
      </c>
      <c r="M32" s="117" t="n">
        <f aca="false">'Monthly P&amp;L'!M9*$B$5-IF(COLUMN()-COLUMN($B$32)&lt;$B$10,0,INDEX('Monthly P&amp;L'!$B$9:$Y$9,1,COLUMN()-COLUMN($B$32)+1-$B$10)*$B$5)</f>
        <v>60072.1153846154</v>
      </c>
      <c r="N32" s="117" t="n">
        <f aca="false">'Monthly P&amp;L'!N9*$B$5-IF(COLUMN()-COLUMN($B$32)&lt;$B$10,0,INDEX('Monthly P&amp;L'!$B$9:$Y$9,1,COLUMN()-COLUMN($B$32)+1-$B$10)*$B$5)</f>
        <v>70084.1346153846</v>
      </c>
      <c r="O32" s="117" t="n">
        <f aca="false">'Monthly P&amp;L'!O9*$B$5-IF(COLUMN()-COLUMN($B$32)&lt;$B$10,0,INDEX('Monthly P&amp;L'!$B$9:$Y$9,1,COLUMN()-COLUMN($B$32)+1-$B$10)*$B$5)</f>
        <v>77740.3846153846</v>
      </c>
      <c r="P32" s="117" t="n">
        <f aca="false">'Monthly P&amp;L'!P9*$B$5-IF(COLUMN()-COLUMN($B$32)&lt;$B$10,0,INDEX('Monthly P&amp;L'!$B$9:$Y$9,1,COLUMN()-COLUMN($B$32)+1-$B$10)*$B$5)</f>
        <v>76562.5</v>
      </c>
      <c r="Q32" s="117" t="n">
        <f aca="false">'Monthly P&amp;L'!Q9*$B$5-IF(COLUMN()-COLUMN($B$32)&lt;$B$10,0,INDEX('Monthly P&amp;L'!$B$9:$Y$9,1,COLUMN()-COLUMN($B$32)+1-$B$10)*$B$5)</f>
        <v>74206.7307692308</v>
      </c>
      <c r="R32" s="117" t="n">
        <f aca="false">'Monthly P&amp;L'!R9*$B$5-IF(COLUMN()-COLUMN($B$32)&lt;$B$10,0,INDEX('Monthly P&amp;L'!$B$9:$Y$9,1,COLUMN()-COLUMN($B$32)+1-$B$10)*$B$5)</f>
        <v>70084.1346153846</v>
      </c>
      <c r="S32" s="117" t="n">
        <f aca="false">'Monthly P&amp;L'!S9*$B$5-IF(COLUMN()-COLUMN($B$32)&lt;$B$10,0,INDEX('Monthly P&amp;L'!$B$9:$Y$9,1,COLUMN()-COLUMN($B$32)+1-$B$10)*$B$5)</f>
        <v>63016.8269230769</v>
      </c>
      <c r="T32" s="117" t="n">
        <f aca="false">'Monthly P&amp;L'!T9*$B$5-IF(COLUMN()-COLUMN($B$32)&lt;$B$10,0,INDEX('Monthly P&amp;L'!$B$9:$Y$9,1,COLUMN()-COLUMN($B$32)+1-$B$10)*$B$5)</f>
        <v>48293.2692307692</v>
      </c>
      <c r="U32" s="117" t="n">
        <f aca="false">'Monthly P&amp;L'!U9*$B$5-IF(COLUMN()-COLUMN($B$32)&lt;$B$10,0,INDEX('Monthly P&amp;L'!$B$9:$Y$9,1,COLUMN()-COLUMN($B$32)+1-$B$10)*$B$5)</f>
        <v>32980.7692307692</v>
      </c>
      <c r="V32" s="117" t="n">
        <f aca="false">'Monthly P&amp;L'!V9*$B$5-IF(COLUMN()-COLUMN($B$32)&lt;$B$10,0,INDEX('Monthly P&amp;L'!$B$9:$Y$9,1,COLUMN()-COLUMN($B$32)+1-$B$10)*$B$5)</f>
        <v>21201.923076923</v>
      </c>
      <c r="W32" s="117" t="n">
        <f aca="false">'Monthly P&amp;L'!W9*$B$5-IF(COLUMN()-COLUMN($B$32)&lt;$B$10,0,INDEX('Monthly P&amp;L'!$B$9:$Y$9,1,COLUMN()-COLUMN($B$32)+1-$B$10)*$B$5)</f>
        <v>16490.3846153846</v>
      </c>
      <c r="X32" s="117" t="n">
        <f aca="false">'Monthly P&amp;L'!X9*$B$5-IF(COLUMN()-COLUMN($B$32)&lt;$B$10,0,INDEX('Monthly P&amp;L'!$B$9:$Y$9,1,COLUMN()-COLUMN($B$32)+1-$B$10)*$B$5)</f>
        <v>16490.3846153846</v>
      </c>
      <c r="Y32" s="117" t="n">
        <f aca="false">'Monthly P&amp;L'!Y9*$B$5-IF(COLUMN()-COLUMN($B$32)&lt;$B$10,0,INDEX('Monthly P&amp;L'!$B$9:$Y$9,1,COLUMN()-COLUMN($B$32)+1-$B$10)*$B$5)</f>
        <v>11189.9038461539</v>
      </c>
    </row>
    <row r="33" customFormat="false" ht="15" hidden="false" customHeight="false" outlineLevel="0" collapsed="false">
      <c r="A33" s="116" t="s">
        <v>341</v>
      </c>
      <c r="B33" s="117" t="n">
        <f aca="false">'Monthly P&amp;L'!B10*$B$6-IF(COLUMN()-COLUMN($B$33)&lt;$B$11,0,INDEX('Monthly P&amp;L'!$B$10:$Y$10,1,COLUMN()-COLUMN($B$33)+1-$B$11)*$B$6)</f>
        <v>6230.76923076923</v>
      </c>
      <c r="C33" s="117" t="n">
        <f aca="false">'Monthly P&amp;L'!C10*$B$6-IF(COLUMN()-COLUMN($B$33)&lt;$B$11,0,INDEX('Monthly P&amp;L'!$B$10:$Y$10,1,COLUMN()-COLUMN($B$33)+1-$B$11)*$B$6)</f>
        <v>7615.38461538461</v>
      </c>
      <c r="D33" s="117" t="n">
        <f aca="false">'Monthly P&amp;L'!D10*$B$6-IF(COLUMN()-COLUMN($B$33)&lt;$B$11,0,INDEX('Monthly P&amp;L'!$B$10:$Y$10,1,COLUMN()-COLUMN($B$33)+1-$B$11)*$B$6)</f>
        <v>3057.69230769231</v>
      </c>
      <c r="E33" s="117" t="n">
        <f aca="false">'Monthly P&amp;L'!E10*$B$6-IF(COLUMN()-COLUMN($B$33)&lt;$B$11,0,INDEX('Monthly P&amp;L'!$B$10:$Y$10,1,COLUMN()-COLUMN($B$33)+1-$B$11)*$B$6)</f>
        <v>3057.69230769231</v>
      </c>
      <c r="F33" s="117" t="n">
        <f aca="false">'Monthly P&amp;L'!F10*$B$6-IF(COLUMN()-COLUMN($B$33)&lt;$B$11,0,INDEX('Monthly P&amp;L'!$B$10:$Y$10,1,COLUMN()-COLUMN($B$33)+1-$B$11)*$B$6)</f>
        <v>2769.23076923077</v>
      </c>
      <c r="G33" s="117" t="n">
        <f aca="false">'Monthly P&amp;L'!G10*$B$6-IF(COLUMN()-COLUMN($B$33)&lt;$B$11,0,INDEX('Monthly P&amp;L'!$B$10:$Y$10,1,COLUMN()-COLUMN($B$33)+1-$B$11)*$B$6)</f>
        <v>3057.69230769231</v>
      </c>
      <c r="H33" s="117" t="n">
        <f aca="false">'Monthly P&amp;L'!H10*$B$6-IF(COLUMN()-COLUMN($B$33)&lt;$B$11,0,INDEX('Monthly P&amp;L'!$B$10:$Y$10,1,COLUMN()-COLUMN($B$33)+1-$B$11)*$B$6)</f>
        <v>3057.69230769231</v>
      </c>
      <c r="I33" s="117" t="n">
        <f aca="false">'Monthly P&amp;L'!I10*$B$6-IF(COLUMN()-COLUMN($B$33)&lt;$B$11,0,INDEX('Monthly P&amp;L'!$B$10:$Y$10,1,COLUMN()-COLUMN($B$33)+1-$B$11)*$B$6)</f>
        <v>2769.23076923077</v>
      </c>
      <c r="J33" s="117" t="n">
        <f aca="false">'Monthly P&amp;L'!J10*$B$6-IF(COLUMN()-COLUMN($B$33)&lt;$B$11,0,INDEX('Monthly P&amp;L'!$B$10:$Y$10,1,COLUMN()-COLUMN($B$33)+1-$B$11)*$B$6)</f>
        <v>3057.69230769231</v>
      </c>
      <c r="K33" s="117" t="n">
        <f aca="false">'Monthly P&amp;L'!K10*$B$6-IF(COLUMN()-COLUMN($B$33)&lt;$B$11,0,INDEX('Monthly P&amp;L'!$B$10:$Y$10,1,COLUMN()-COLUMN($B$33)+1-$B$11)*$B$6)</f>
        <v>3057.69230769231</v>
      </c>
      <c r="L33" s="117" t="n">
        <f aca="false">'Monthly P&amp;L'!L10*$B$6-IF(COLUMN()-COLUMN($B$33)&lt;$B$11,0,INDEX('Monthly P&amp;L'!$B$10:$Y$10,1,COLUMN()-COLUMN($B$33)+1-$B$11)*$B$6)</f>
        <v>2769.23076923077</v>
      </c>
      <c r="M33" s="117" t="n">
        <f aca="false">'Monthly P&amp;L'!M10*$B$6-IF(COLUMN()-COLUMN($B$33)&lt;$B$11,0,INDEX('Monthly P&amp;L'!$B$10:$Y$10,1,COLUMN()-COLUMN($B$33)+1-$B$11)*$B$6)</f>
        <v>3057.69230769231</v>
      </c>
      <c r="N33" s="117" t="n">
        <f aca="false">'Monthly P&amp;L'!N10*$B$6-IF(COLUMN()-COLUMN($B$33)&lt;$B$11,0,INDEX('Monthly P&amp;L'!$B$10:$Y$10,1,COLUMN()-COLUMN($B$33)+1-$B$11)*$B$6)</f>
        <v>3057.69230769231</v>
      </c>
      <c r="O33" s="117" t="n">
        <f aca="false">'Monthly P&amp;L'!O10*$B$6-IF(COLUMN()-COLUMN($B$33)&lt;$B$11,0,INDEX('Monthly P&amp;L'!$B$10:$Y$10,1,COLUMN()-COLUMN($B$33)+1-$B$11)*$B$6)</f>
        <v>3057.69230769231</v>
      </c>
      <c r="P33" s="117" t="n">
        <f aca="false">'Monthly P&amp;L'!P10*$B$6-IF(COLUMN()-COLUMN($B$33)&lt;$B$11,0,INDEX('Monthly P&amp;L'!$B$10:$Y$10,1,COLUMN()-COLUMN($B$33)+1-$B$11)*$B$6)</f>
        <v>3057.69230769231</v>
      </c>
      <c r="Q33" s="117" t="n">
        <f aca="false">'Monthly P&amp;L'!Q10*$B$6-IF(COLUMN()-COLUMN($B$33)&lt;$B$11,0,INDEX('Monthly P&amp;L'!$B$10:$Y$10,1,COLUMN()-COLUMN($B$33)+1-$B$11)*$B$6)</f>
        <v>2769.23076923077</v>
      </c>
      <c r="R33" s="117" t="n">
        <f aca="false">'Monthly P&amp;L'!R10*$B$6-IF(COLUMN()-COLUMN($B$33)&lt;$B$11,0,INDEX('Monthly P&amp;L'!$B$10:$Y$10,1,COLUMN()-COLUMN($B$33)+1-$B$11)*$B$6)</f>
        <v>3057.69230769231</v>
      </c>
      <c r="S33" s="117" t="n">
        <f aca="false">'Monthly P&amp;L'!S10*$B$6-IF(COLUMN()-COLUMN($B$33)&lt;$B$11,0,INDEX('Monthly P&amp;L'!$B$10:$Y$10,1,COLUMN()-COLUMN($B$33)+1-$B$11)*$B$6)</f>
        <v>3057.69230769231</v>
      </c>
      <c r="T33" s="117" t="n">
        <f aca="false">'Monthly P&amp;L'!T10*$B$6-IF(COLUMN()-COLUMN($B$33)&lt;$B$11,0,INDEX('Monthly P&amp;L'!$B$10:$Y$10,1,COLUMN()-COLUMN($B$33)+1-$B$11)*$B$6)</f>
        <v>2769.23076923077</v>
      </c>
      <c r="U33" s="117" t="n">
        <f aca="false">'Monthly P&amp;L'!U10*$B$6-IF(COLUMN()-COLUMN($B$33)&lt;$B$11,0,INDEX('Monthly P&amp;L'!$B$10:$Y$10,1,COLUMN()-COLUMN($B$33)+1-$B$11)*$B$6)</f>
        <v>3057.69230769231</v>
      </c>
      <c r="V33" s="117" t="n">
        <f aca="false">'Monthly P&amp;L'!V10*$B$6-IF(COLUMN()-COLUMN($B$33)&lt;$B$11,0,INDEX('Monthly P&amp;L'!$B$10:$Y$10,1,COLUMN()-COLUMN($B$33)+1-$B$11)*$B$6)</f>
        <v>3057.69230769231</v>
      </c>
      <c r="W33" s="117" t="n">
        <f aca="false">'Monthly P&amp;L'!W10*$B$6-IF(COLUMN()-COLUMN($B$33)&lt;$B$11,0,INDEX('Monthly P&amp;L'!$B$10:$Y$10,1,COLUMN()-COLUMN($B$33)+1-$B$11)*$B$6)</f>
        <v>2769.23076923077</v>
      </c>
      <c r="X33" s="117" t="n">
        <f aca="false">'Monthly P&amp;L'!X10*$B$6-IF(COLUMN()-COLUMN($B$33)&lt;$B$11,0,INDEX('Monthly P&amp;L'!$B$10:$Y$10,1,COLUMN()-COLUMN($B$33)+1-$B$11)*$B$6)</f>
        <v>3057.69230769231</v>
      </c>
      <c r="Y33" s="117" t="n">
        <f aca="false">'Monthly P&amp;L'!Y10*$B$6-IF(COLUMN()-COLUMN($B$33)&lt;$B$11,0,INDEX('Monthly P&amp;L'!$B$10:$Y$10,1,COLUMN()-COLUMN($B$33)+1-$B$11)*$B$6)</f>
        <v>3057.69230769231</v>
      </c>
    </row>
    <row r="34" customFormat="false" ht="15" hidden="false" customHeight="false" outlineLevel="0" collapsed="false">
      <c r="A34" s="116" t="s">
        <v>309</v>
      </c>
      <c r="B34" s="117" t="n">
        <f aca="false">Assumptions!$B$5+B31-B32-B33-Assumptions!$B$31-Assumptions!$B$32/12</f>
        <v>912657.419871795</v>
      </c>
      <c r="C34" s="117" t="n">
        <f aca="false">B34+C31-C32-C33-Assumptions!$B$32/12</f>
        <v>847304.983974359</v>
      </c>
      <c r="D34" s="117" t="n">
        <f aca="false">C34+D31-D32-D33-Assumptions!$B$32/12</f>
        <v>785000.384615385</v>
      </c>
      <c r="E34" s="117" t="n">
        <f aca="false">D34+E31-E32-E33-Assumptions!$B$32/12</f>
        <v>722401.55448718</v>
      </c>
      <c r="F34" s="117" t="n">
        <f aca="false">E34+F31-F32-F33-Assumptions!$B$32/12</f>
        <v>661410.657051283</v>
      </c>
      <c r="G34" s="117" t="n">
        <f aca="false">F34+G31-G32-G33-Assumptions!$B$32/12</f>
        <v>600258.701923078</v>
      </c>
      <c r="H34" s="117" t="n">
        <f aca="false">G34+H31-H32-H33-Assumptions!$B$32/12</f>
        <v>533365.352564103</v>
      </c>
      <c r="I34" s="117" t="n">
        <f aca="false">H34+I31-I32-I33-Assumptions!$B$32/12</f>
        <v>459799.407051283</v>
      </c>
      <c r="J34" s="117" t="n">
        <f aca="false">I34+J31-J32-J33-Assumptions!$B$32/12</f>
        <v>381301.971153847</v>
      </c>
      <c r="K34" s="117" t="n">
        <f aca="false">J34+K31-K32-K33-Assumptions!$B$32/12</f>
        <v>300731.698717949</v>
      </c>
      <c r="L34" s="117" t="n">
        <f aca="false">K34+L31-L32-L33-Assumptions!$B$32/12</f>
        <v>222499.647435898</v>
      </c>
      <c r="M34" s="117" t="n">
        <f aca="false">L34+M31-M32-M33-Assumptions!$B$32/12</f>
        <v>139018.076923078</v>
      </c>
      <c r="N34" s="117" t="n">
        <f aca="false">M34+N31-N32-N33</f>
        <v>57288.7500000006</v>
      </c>
      <c r="O34" s="117" t="n">
        <f aca="false">N34+O31-O32-O33</f>
        <v>-24996.3461538456</v>
      </c>
      <c r="P34" s="117" t="n">
        <f aca="false">O34+P31-P32-P33</f>
        <v>-99118.461538461</v>
      </c>
      <c r="Q34" s="117" t="n">
        <f aca="false">P34+Q31-Q32-Q33</f>
        <v>-163611.249999999</v>
      </c>
      <c r="R34" s="117" t="n">
        <f aca="false">Q34+R31-R32-R33</f>
        <v>-218241.298076923</v>
      </c>
      <c r="S34" s="117" t="n">
        <f aca="false">R34+S31-S32-S33</f>
        <v>-260656.442307692</v>
      </c>
      <c r="T34" s="117" t="n">
        <f aca="false">S34+T31-T32-T33</f>
        <v>-284902.596153846</v>
      </c>
      <c r="U34" s="117" t="n">
        <f aca="false">T34+U31-U32-U33</f>
        <v>-292077.35576923</v>
      </c>
      <c r="V34" s="117" t="n">
        <f aca="false">U34+V31-V32-V33</f>
        <v>-285388.173076923</v>
      </c>
      <c r="W34" s="117" t="n">
        <f aca="false">V34+W31-W32-W33</f>
        <v>-271767.019230769</v>
      </c>
      <c r="X34" s="117" t="n">
        <f aca="false">W34+X31-X32-X33</f>
        <v>-256386.971153846</v>
      </c>
      <c r="Y34" s="117" t="n">
        <f aca="false">X34+Y31-Y32-Y33</f>
        <v>-234999.471153846</v>
      </c>
    </row>
    <row r="35" customFormat="false" ht="15" hidden="false" customHeight="false" outlineLevel="0" collapsed="false">
      <c r="A35" s="118" t="s">
        <v>342</v>
      </c>
      <c r="B35" s="119" t="n">
        <f aca="false">IF(B31&gt;=0,1,999)</f>
        <v>999</v>
      </c>
      <c r="C35" s="119" t="n">
        <f aca="false">IF(C31&gt;=0,2,999)</f>
        <v>999</v>
      </c>
      <c r="D35" s="119" t="n">
        <f aca="false">IF(D31&gt;=0,3,999)</f>
        <v>999</v>
      </c>
      <c r="E35" s="119" t="n">
        <f aca="false">IF(E31&gt;=0,4,999)</f>
        <v>999</v>
      </c>
      <c r="F35" s="119" t="n">
        <f aca="false">IF(F31&gt;=0,5,999)</f>
        <v>999</v>
      </c>
      <c r="G35" s="119" t="n">
        <f aca="false">IF(G31&gt;=0,6,999)</f>
        <v>999</v>
      </c>
      <c r="H35" s="119" t="n">
        <f aca="false">IF(H31&gt;=0,7,999)</f>
        <v>999</v>
      </c>
      <c r="I35" s="119" t="n">
        <f aca="false">IF(I31&gt;=0,8,999)</f>
        <v>999</v>
      </c>
      <c r="J35" s="119" t="n">
        <f aca="false">IF(J31&gt;=0,9,999)</f>
        <v>999</v>
      </c>
      <c r="K35" s="119" t="n">
        <f aca="false">IF(K31&gt;=0,10,999)</f>
        <v>999</v>
      </c>
      <c r="L35" s="119" t="n">
        <f aca="false">IF(L31&gt;=0,11,999)</f>
        <v>999</v>
      </c>
      <c r="M35" s="119" t="n">
        <f aca="false">IF(M31&gt;=0,12,999)</f>
        <v>999</v>
      </c>
      <c r="N35" s="119" t="n">
        <f aca="false">IF(N31&gt;=0,13,999)</f>
        <v>999</v>
      </c>
      <c r="O35" s="119" t="n">
        <f aca="false">IF(O31&gt;=0,14,999)</f>
        <v>999</v>
      </c>
      <c r="P35" s="119" t="n">
        <f aca="false">IF(P31&gt;=0,15,999)</f>
        <v>15</v>
      </c>
      <c r="Q35" s="119" t="n">
        <f aca="false">IF(Q31&gt;=0,16,999)</f>
        <v>16</v>
      </c>
      <c r="R35" s="119" t="n">
        <f aca="false">IF(R31&gt;=0,17,999)</f>
        <v>17</v>
      </c>
      <c r="S35" s="119" t="n">
        <f aca="false">IF(S31&gt;=0,18,999)</f>
        <v>18</v>
      </c>
      <c r="T35" s="119" t="n">
        <f aca="false">IF(T31&gt;=0,19,999)</f>
        <v>19</v>
      </c>
      <c r="U35" s="119" t="n">
        <f aca="false">IF(U31&gt;=0,20,999)</f>
        <v>20</v>
      </c>
      <c r="V35" s="119" t="n">
        <f aca="false">IF(V31&gt;=0,21,999)</f>
        <v>21</v>
      </c>
      <c r="W35" s="119" t="n">
        <f aca="false">IF(W31&gt;=0,22,999)</f>
        <v>22</v>
      </c>
      <c r="X35" s="119" t="n">
        <f aca="false">IF(X31&gt;=0,23,999)</f>
        <v>23</v>
      </c>
      <c r="Y35" s="119" t="n">
        <f aca="false">IF(Y31&gt;=0,24,999)</f>
        <v>24</v>
      </c>
    </row>
    <row r="37" customFormat="false" ht="15" hidden="false" customHeight="false" outlineLevel="0" collapsed="false">
      <c r="A37" s="113" t="s">
        <v>343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</row>
    <row r="38" customFormat="false" ht="15" hidden="false" customHeight="false" outlineLevel="0" collapsed="false">
      <c r="A38" s="10" t="s">
        <v>150</v>
      </c>
      <c r="B38" s="11" t="str">
        <f aca="false">'Monthly P&amp;L'!B3</f>
        <v>Jul-26</v>
      </c>
      <c r="C38" s="11" t="str">
        <f aca="false">'Monthly P&amp;L'!C3</f>
        <v>Aug-26</v>
      </c>
      <c r="D38" s="11" t="str">
        <f aca="false">'Monthly P&amp;L'!D3</f>
        <v>Sep-26</v>
      </c>
      <c r="E38" s="11" t="str">
        <f aca="false">'Monthly P&amp;L'!E3</f>
        <v>Oct-26</v>
      </c>
      <c r="F38" s="11" t="str">
        <f aca="false">'Monthly P&amp;L'!F3</f>
        <v>Nov-26</v>
      </c>
      <c r="G38" s="11" t="str">
        <f aca="false">'Monthly P&amp;L'!G3</f>
        <v>Dec-26</v>
      </c>
      <c r="H38" s="11" t="str">
        <f aca="false">'Monthly P&amp;L'!H3</f>
        <v>Jan-27</v>
      </c>
      <c r="I38" s="11" t="str">
        <f aca="false">'Monthly P&amp;L'!I3</f>
        <v>Feb-27</v>
      </c>
      <c r="J38" s="11" t="str">
        <f aca="false">'Monthly P&amp;L'!J3</f>
        <v>Mar-27</v>
      </c>
      <c r="K38" s="11" t="str">
        <f aca="false">'Monthly P&amp;L'!K3</f>
        <v>Apr-27</v>
      </c>
      <c r="L38" s="11" t="str">
        <f aca="false">'Monthly P&amp;L'!L3</f>
        <v>May-27</v>
      </c>
      <c r="M38" s="11" t="str">
        <f aca="false">'Monthly P&amp;L'!M3</f>
        <v>Jun-27</v>
      </c>
      <c r="N38" s="11" t="str">
        <f aca="false">'Monthly P&amp;L'!N3</f>
        <v>Jul-27</v>
      </c>
      <c r="O38" s="11" t="str">
        <f aca="false">'Monthly P&amp;L'!O3</f>
        <v>Aug-27</v>
      </c>
      <c r="P38" s="11" t="str">
        <f aca="false">'Monthly P&amp;L'!P3</f>
        <v>Sep-27</v>
      </c>
      <c r="Q38" s="11" t="str">
        <f aca="false">'Monthly P&amp;L'!Q3</f>
        <v>Oct-27</v>
      </c>
      <c r="R38" s="11" t="str">
        <f aca="false">'Monthly P&amp;L'!R3</f>
        <v>Nov-27</v>
      </c>
      <c r="S38" s="11" t="str">
        <f aca="false">'Monthly P&amp;L'!S3</f>
        <v>Dec-27</v>
      </c>
      <c r="T38" s="11" t="str">
        <f aca="false">'Monthly P&amp;L'!T3</f>
        <v>Jan-28</v>
      </c>
      <c r="U38" s="11" t="str">
        <f aca="false">'Monthly P&amp;L'!U3</f>
        <v>Feb-28</v>
      </c>
      <c r="V38" s="11" t="str">
        <f aca="false">'Monthly P&amp;L'!V3</f>
        <v>Mar-28</v>
      </c>
      <c r="W38" s="11" t="str">
        <f aca="false">'Monthly P&amp;L'!W3</f>
        <v>Apr-28</v>
      </c>
      <c r="X38" s="11" t="str">
        <f aca="false">'Monthly P&amp;L'!X3</f>
        <v>May-28</v>
      </c>
      <c r="Y38" s="12" t="str">
        <f aca="false">'Monthly P&amp;L'!Y3</f>
        <v>Jun-28</v>
      </c>
    </row>
    <row r="39" customFormat="false" ht="15" hidden="false" customHeight="false" outlineLevel="0" collapsed="false">
      <c r="A39" s="114" t="s">
        <v>189</v>
      </c>
      <c r="B39" s="115" t="n">
        <f aca="false">'Monthly P&amp;L'!B9*$C$5*$C$7+'Monthly P&amp;L'!B10*$C$6*$C$8-'Monthly P&amp;L'!B15*$C$9</f>
        <v>-46241.3942307692</v>
      </c>
      <c r="C39" s="115" t="n">
        <f aca="false">'Monthly P&amp;L'!C9*$C$5*$C$7+'Monthly P&amp;L'!C10*$C$6*$C$8-'Monthly P&amp;L'!C15*$C$9</f>
        <v>-43825.3846153846</v>
      </c>
      <c r="D39" s="115" t="n">
        <f aca="false">'Monthly P&amp;L'!D9*$C$5*$C$7+'Monthly P&amp;L'!D10*$C$6*$C$8-'Monthly P&amp;L'!D15*$C$9</f>
        <v>-41247.8365384615</v>
      </c>
      <c r="E39" s="115" t="n">
        <f aca="false">'Monthly P&amp;L'!E9*$C$5*$C$7+'Monthly P&amp;L'!E10*$C$6*$C$8-'Monthly P&amp;L'!E15*$C$9</f>
        <v>-38503.7019230769</v>
      </c>
      <c r="F39" s="115" t="n">
        <f aca="false">'Monthly P&amp;L'!F9*$C$5*$C$7+'Monthly P&amp;L'!F10*$C$6*$C$8-'Monthly P&amp;L'!F15*$C$9</f>
        <v>-36087.6923076923</v>
      </c>
      <c r="G39" s="115" t="n">
        <f aca="false">'Monthly P&amp;L'!G9*$C$5*$C$7+'Monthly P&amp;L'!G10*$C$6*$C$8-'Monthly P&amp;L'!G15*$C$9</f>
        <v>-32525.7692307692</v>
      </c>
      <c r="H39" s="115" t="n">
        <f aca="false">'Monthly P&amp;L'!H9*$C$5*$C$7+'Monthly P&amp;L'!H10*$C$6*$C$8-'Monthly P&amp;L'!H15*$C$9</f>
        <v>-28482.2596153846</v>
      </c>
      <c r="I39" s="115" t="n">
        <f aca="false">'Monthly P&amp;L'!I9*$C$5*$C$7+'Monthly P&amp;L'!I10*$C$6*$C$8-'Monthly P&amp;L'!I15*$C$9</f>
        <v>-19831.875</v>
      </c>
      <c r="J39" s="115" t="n">
        <f aca="false">'Monthly P&amp;L'!J9*$C$5*$C$7+'Monthly P&amp;L'!J10*$C$6*$C$8-'Monthly P&amp;L'!J15*$C$9</f>
        <v>-11348.0769230769</v>
      </c>
      <c r="K39" s="115" t="n">
        <f aca="false">'Monthly P&amp;L'!K9*$C$5*$C$7+'Monthly P&amp;L'!K10*$C$6*$C$8-'Monthly P&amp;L'!K15*$C$9</f>
        <v>-1057.06730769231</v>
      </c>
      <c r="L39" s="115" t="n">
        <f aca="false">'Monthly P&amp;L'!L9*$C$5*$C$7+'Monthly P&amp;L'!L10*$C$6*$C$8-'Monthly P&amp;L'!L15*$C$9</f>
        <v>9233.94230769231</v>
      </c>
      <c r="M39" s="115" t="n">
        <f aca="false">'Monthly P&amp;L'!M9*$C$5*$C$7+'Monthly P&amp;L'!M10*$C$6*$C$8-'Monthly P&amp;L'!M15*$C$9</f>
        <v>24608.3653846154</v>
      </c>
      <c r="N39" s="115" t="n">
        <f aca="false">'Monthly P&amp;L'!N9*$C$5*$C$7+'Monthly P&amp;L'!N10*$C$6*$C$8-'Monthly P&amp;L'!N15*$C$9</f>
        <v>40477.5</v>
      </c>
      <c r="O39" s="115" t="n">
        <f aca="false">'Monthly P&amp;L'!O9*$C$5*$C$7+'Monthly P&amp;L'!O10*$C$6*$C$8-'Monthly P&amp;L'!O15*$C$9</f>
        <v>55195.6730769231</v>
      </c>
      <c r="P39" s="115" t="n">
        <f aca="false">'Monthly P&amp;L'!P9*$C$5*$C$7+'Monthly P&amp;L'!P10*$C$6*$C$8-'Monthly P&amp;L'!P15*$C$9</f>
        <v>69752.3076923077</v>
      </c>
      <c r="Q39" s="115" t="n">
        <f aca="false">'Monthly P&amp;L'!Q9*$C$5*$C$7+'Monthly P&amp;L'!Q10*$C$6*$C$8-'Monthly P&amp;L'!Q15*$C$9</f>
        <v>84308.9423076923</v>
      </c>
      <c r="R39" s="115" t="n">
        <f aca="false">'Monthly P&amp;L'!R9*$C$5*$C$7+'Monthly P&amp;L'!R10*$C$6*$C$8-'Monthly P&amp;L'!R15*$C$9</f>
        <v>96730.2403846154</v>
      </c>
      <c r="S39" s="115" t="n">
        <f aca="false">'Monthly P&amp;L'!S9*$C$5*$C$7+'Monthly P&amp;L'!S10*$C$6*$C$8-'Monthly P&amp;L'!S15*$C$9</f>
        <v>107349.375</v>
      </c>
      <c r="T39" s="115" t="n">
        <f aca="false">'Monthly P&amp;L'!T9*$C$5*$C$7+'Monthly P&amp;L'!T10*$C$6*$C$8-'Monthly P&amp;L'!T15*$C$9</f>
        <v>113702.884615385</v>
      </c>
      <c r="U39" s="115" t="n">
        <f aca="false">'Monthly P&amp;L'!U9*$C$5*$C$7+'Monthly P&amp;L'!U10*$C$6*$C$8-'Monthly P&amp;L'!U15*$C$9</f>
        <v>117592.932692308</v>
      </c>
      <c r="V39" s="115" t="n">
        <f aca="false">'Monthly P&amp;L'!V9*$C$5*$C$7+'Monthly P&amp;L'!V10*$C$6*$C$8-'Monthly P&amp;L'!V15*$C$9</f>
        <v>121649.567307692</v>
      </c>
      <c r="W39" s="115" t="n">
        <f aca="false">'Monthly P&amp;L'!W9*$C$5*$C$7+'Monthly P&amp;L'!W10*$C$6*$C$8-'Monthly P&amp;L'!W15*$C$9</f>
        <v>125378.076923077</v>
      </c>
      <c r="X39" s="115" t="n">
        <f aca="false">'Monthly P&amp;L'!X9*$C$5*$C$7+'Monthly P&amp;L'!X10*$C$6*$C$8-'Monthly P&amp;L'!X15*$C$9</f>
        <v>129268.125</v>
      </c>
      <c r="Y39" s="115" t="n">
        <f aca="false">'Monthly P&amp;L'!Y9*$C$5*$C$7+'Monthly P&amp;L'!Y10*$C$6*$C$8-'Monthly P&amp;L'!Y15*$C$9</f>
        <v>130371.634615385</v>
      </c>
    </row>
    <row r="40" customFormat="false" ht="15" hidden="false" customHeight="false" outlineLevel="0" collapsed="false">
      <c r="A40" s="116" t="s">
        <v>340</v>
      </c>
      <c r="B40" s="117" t="n">
        <f aca="false">'Monthly P&amp;L'!B9*$C$5-IF(COLUMN()-COLUMN($B$40)&lt;$C$10,0,INDEX('Monthly P&amp;L'!$B$9:$Y$9,1,COLUMN()-COLUMN($B$40)+1-$C$10)*$C$5)</f>
        <v>3281.25</v>
      </c>
      <c r="C40" s="117" t="n">
        <f aca="false">'Monthly P&amp;L'!C9*$C$5-IF(COLUMN()-COLUMN($B$40)&lt;$C$10,0,INDEX('Monthly P&amp;L'!$B$9:$Y$9,1,COLUMN()-COLUMN($B$40)+1-$C$10)*$C$5)</f>
        <v>8750</v>
      </c>
      <c r="D40" s="117" t="n">
        <f aca="false">'Monthly P&amp;L'!D9*$C$5-IF(COLUMN()-COLUMN($B$40)&lt;$C$10,0,INDEX('Monthly P&amp;L'!$B$9:$Y$9,1,COLUMN()-COLUMN($B$40)+1-$C$10)*$C$5)</f>
        <v>10937.5</v>
      </c>
      <c r="E40" s="117" t="n">
        <f aca="false">'Monthly P&amp;L'!E9*$C$5-IF(COLUMN()-COLUMN($B$40)&lt;$C$10,0,INDEX('Monthly P&amp;L'!$B$9:$Y$9,1,COLUMN()-COLUMN($B$40)+1-$C$10)*$C$5)</f>
        <v>12031.25</v>
      </c>
      <c r="F40" s="117" t="n">
        <f aca="false">'Monthly P&amp;L'!F9*$C$5-IF(COLUMN()-COLUMN($B$40)&lt;$C$10,0,INDEX('Monthly P&amp;L'!$B$9:$Y$9,1,COLUMN()-COLUMN($B$40)+1-$C$10)*$C$5)</f>
        <v>12031.25</v>
      </c>
      <c r="G40" s="117" t="n">
        <f aca="false">'Monthly P&amp;L'!G9*$C$5-IF(COLUMN()-COLUMN($B$40)&lt;$C$10,0,INDEX('Monthly P&amp;L'!$B$9:$Y$9,1,COLUMN()-COLUMN($B$40)+1-$C$10)*$C$5)</f>
        <v>14218.75</v>
      </c>
      <c r="H40" s="117" t="n">
        <f aca="false">'Monthly P&amp;L'!H9*$C$5-IF(COLUMN()-COLUMN($B$40)&lt;$C$10,0,INDEX('Monthly P&amp;L'!$B$9:$Y$9,1,COLUMN()-COLUMN($B$40)+1-$C$10)*$C$5)</f>
        <v>27343.75</v>
      </c>
      <c r="I40" s="117" t="n">
        <f aca="false">'Monthly P&amp;L'!I9*$C$5-IF(COLUMN()-COLUMN($B$40)&lt;$C$10,0,INDEX('Monthly P&amp;L'!$B$9:$Y$9,1,COLUMN()-COLUMN($B$40)+1-$C$10)*$C$5)</f>
        <v>44843.75</v>
      </c>
      <c r="J40" s="117" t="n">
        <f aca="false">'Monthly P&amp;L'!J9*$C$5-IF(COLUMN()-COLUMN($B$40)&lt;$C$10,0,INDEX('Monthly P&amp;L'!$B$9:$Y$9,1,COLUMN()-COLUMN($B$40)+1-$C$10)*$C$5)</f>
        <v>51406.25</v>
      </c>
      <c r="K40" s="117" t="n">
        <f aca="false">'Monthly P&amp;L'!K9*$C$5-IF(COLUMN()-COLUMN($B$40)&lt;$C$10,0,INDEX('Monthly P&amp;L'!$B$9:$Y$9,1,COLUMN()-COLUMN($B$40)+1-$C$10)*$C$5)</f>
        <v>56875</v>
      </c>
      <c r="L40" s="117" t="n">
        <f aca="false">'Monthly P&amp;L'!L9*$C$5-IF(COLUMN()-COLUMN($B$40)&lt;$C$10,0,INDEX('Monthly P&amp;L'!$B$9:$Y$9,1,COLUMN()-COLUMN($B$40)+1-$C$10)*$C$5)</f>
        <v>63437.5</v>
      </c>
      <c r="M40" s="117" t="n">
        <f aca="false">'Monthly P&amp;L'!M9*$C$5-IF(COLUMN()-COLUMN($B$40)&lt;$C$10,0,INDEX('Monthly P&amp;L'!$B$9:$Y$9,1,COLUMN()-COLUMN($B$40)+1-$C$10)*$C$5)</f>
        <v>79843.75</v>
      </c>
      <c r="N40" s="117" t="n">
        <f aca="false">'Monthly P&amp;L'!N9*$C$5-IF(COLUMN()-COLUMN($B$40)&lt;$C$10,0,INDEX('Monthly P&amp;L'!$B$9:$Y$9,1,COLUMN()-COLUMN($B$40)+1-$C$10)*$C$5)</f>
        <v>98437.5</v>
      </c>
      <c r="O40" s="117" t="n">
        <f aca="false">'Monthly P&amp;L'!O9*$C$5-IF(COLUMN()-COLUMN($B$40)&lt;$C$10,0,INDEX('Monthly P&amp;L'!$B$9:$Y$9,1,COLUMN()-COLUMN($B$40)+1-$C$10)*$C$5)</f>
        <v>96250</v>
      </c>
      <c r="P40" s="117" t="n">
        <f aca="false">'Monthly P&amp;L'!P9*$C$5-IF(COLUMN()-COLUMN($B$40)&lt;$C$10,0,INDEX('Monthly P&amp;L'!$B$9:$Y$9,1,COLUMN()-COLUMN($B$40)+1-$C$10)*$C$5)</f>
        <v>91875</v>
      </c>
      <c r="Q40" s="117" t="n">
        <f aca="false">'Monthly P&amp;L'!Q9*$C$5-IF(COLUMN()-COLUMN($B$40)&lt;$C$10,0,INDEX('Monthly P&amp;L'!$B$9:$Y$9,1,COLUMN()-COLUMN($B$40)+1-$C$10)*$C$5)</f>
        <v>91875.0000000001</v>
      </c>
      <c r="R40" s="117" t="n">
        <f aca="false">'Monthly P&amp;L'!R9*$C$5-IF(COLUMN()-COLUMN($B$40)&lt;$C$10,0,INDEX('Monthly P&amp;L'!$B$9:$Y$9,1,COLUMN()-COLUMN($B$40)+1-$C$10)*$C$5)</f>
        <v>84218.75</v>
      </c>
      <c r="S40" s="117" t="n">
        <f aca="false">'Monthly P&amp;L'!S9*$C$5-IF(COLUMN()-COLUMN($B$40)&lt;$C$10,0,INDEX('Monthly P&amp;L'!$B$9:$Y$9,1,COLUMN()-COLUMN($B$40)+1-$C$10)*$C$5)</f>
        <v>71093.75</v>
      </c>
      <c r="T40" s="117" t="n">
        <f aca="false">'Monthly P&amp;L'!T9*$C$5-IF(COLUMN()-COLUMN($B$40)&lt;$C$10,0,INDEX('Monthly P&amp;L'!$B$9:$Y$9,1,COLUMN()-COLUMN($B$40)+1-$C$10)*$C$5)</f>
        <v>51406.2499999999</v>
      </c>
      <c r="U40" s="117" t="n">
        <f aca="false">'Monthly P&amp;L'!U9*$C$5-IF(COLUMN()-COLUMN($B$40)&lt;$C$10,0,INDEX('Monthly P&amp;L'!$B$9:$Y$9,1,COLUMN()-COLUMN($B$40)+1-$C$10)*$C$5)</f>
        <v>28437.5</v>
      </c>
      <c r="V40" s="117" t="n">
        <f aca="false">'Monthly P&amp;L'!V9*$C$5-IF(COLUMN()-COLUMN($B$40)&lt;$C$10,0,INDEX('Monthly P&amp;L'!$B$9:$Y$9,1,COLUMN()-COLUMN($B$40)+1-$C$10)*$C$5)</f>
        <v>20781.2500000001</v>
      </c>
      <c r="W40" s="117" t="n">
        <f aca="false">'Monthly P&amp;L'!W9*$C$5-IF(COLUMN()-COLUMN($B$40)&lt;$C$10,0,INDEX('Monthly P&amp;L'!$B$9:$Y$9,1,COLUMN()-COLUMN($B$40)+1-$C$10)*$C$5)</f>
        <v>20781.2499999999</v>
      </c>
      <c r="X40" s="117" t="n">
        <f aca="false">'Monthly P&amp;L'!X9*$C$5-IF(COLUMN()-COLUMN($B$40)&lt;$C$10,0,INDEX('Monthly P&amp;L'!$B$9:$Y$9,1,COLUMN()-COLUMN($B$40)+1-$C$10)*$C$5)</f>
        <v>19687.5</v>
      </c>
      <c r="Y40" s="117" t="n">
        <f aca="false">'Monthly P&amp;L'!Y9*$C$5-IF(COLUMN()-COLUMN($B$40)&lt;$C$10,0,INDEX('Monthly P&amp;L'!$B$9:$Y$9,1,COLUMN()-COLUMN($B$40)+1-$C$10)*$C$5)</f>
        <v>10937.5</v>
      </c>
    </row>
    <row r="41" customFormat="false" ht="15" hidden="false" customHeight="false" outlineLevel="0" collapsed="false">
      <c r="A41" s="116" t="s">
        <v>341</v>
      </c>
      <c r="B41" s="117" t="n">
        <f aca="false">'Monthly P&amp;L'!B10*$C$6-IF(COLUMN()-COLUMN($B$41)&lt;$C$11,0,INDEX('Monthly P&amp;L'!$B$10:$Y$10,1,COLUMN()-COLUMN($B$41)+1-$C$11)*$C$6)</f>
        <v>8307.69230769231</v>
      </c>
      <c r="C41" s="117" t="n">
        <f aca="false">'Monthly P&amp;L'!C10*$C$6-IF(COLUMN()-COLUMN($B$41)&lt;$C$11,0,INDEX('Monthly P&amp;L'!$B$10:$Y$10,1,COLUMN()-COLUMN($B$41)+1-$C$11)*$C$6)</f>
        <v>1846.15384615385</v>
      </c>
      <c r="D41" s="117" t="n">
        <f aca="false">'Monthly P&amp;L'!D10*$C$6-IF(COLUMN()-COLUMN($B$41)&lt;$C$11,0,INDEX('Monthly P&amp;L'!$B$10:$Y$10,1,COLUMN()-COLUMN($B$41)+1-$C$11)*$C$6)</f>
        <v>2230.76923076923</v>
      </c>
      <c r="E41" s="117" t="n">
        <f aca="false">'Monthly P&amp;L'!E10*$C$6-IF(COLUMN()-COLUMN($B$41)&lt;$C$11,0,INDEX('Monthly P&amp;L'!$B$10:$Y$10,1,COLUMN()-COLUMN($B$41)+1-$C$11)*$C$6)</f>
        <v>1846.15384615385</v>
      </c>
      <c r="F41" s="117" t="n">
        <f aca="false">'Monthly P&amp;L'!F10*$C$6-IF(COLUMN()-COLUMN($B$41)&lt;$C$11,0,INDEX('Monthly P&amp;L'!$B$10:$Y$10,1,COLUMN()-COLUMN($B$41)+1-$C$11)*$C$6)</f>
        <v>1846.15384615384</v>
      </c>
      <c r="G41" s="117" t="n">
        <f aca="false">'Monthly P&amp;L'!G10*$C$6-IF(COLUMN()-COLUMN($B$41)&lt;$C$11,0,INDEX('Monthly P&amp;L'!$B$10:$Y$10,1,COLUMN()-COLUMN($B$41)+1-$C$11)*$C$6)</f>
        <v>2230.76923076923</v>
      </c>
      <c r="H41" s="117" t="n">
        <f aca="false">'Monthly P&amp;L'!H10*$C$6-IF(COLUMN()-COLUMN($B$41)&lt;$C$11,0,INDEX('Monthly P&amp;L'!$B$10:$Y$10,1,COLUMN()-COLUMN($B$41)+1-$C$11)*$C$6)</f>
        <v>1846.15384615384</v>
      </c>
      <c r="I41" s="117" t="n">
        <f aca="false">'Monthly P&amp;L'!I10*$C$6-IF(COLUMN()-COLUMN($B$41)&lt;$C$11,0,INDEX('Monthly P&amp;L'!$B$10:$Y$10,1,COLUMN()-COLUMN($B$41)+1-$C$11)*$C$6)</f>
        <v>1846.15384615385</v>
      </c>
      <c r="J41" s="117" t="n">
        <f aca="false">'Monthly P&amp;L'!J10*$C$6-IF(COLUMN()-COLUMN($B$41)&lt;$C$11,0,INDEX('Monthly P&amp;L'!$B$10:$Y$10,1,COLUMN()-COLUMN($B$41)+1-$C$11)*$C$6)</f>
        <v>2230.76923076923</v>
      </c>
      <c r="K41" s="117" t="n">
        <f aca="false">'Monthly P&amp;L'!K10*$C$6-IF(COLUMN()-COLUMN($B$41)&lt;$C$11,0,INDEX('Monthly P&amp;L'!$B$10:$Y$10,1,COLUMN()-COLUMN($B$41)+1-$C$11)*$C$6)</f>
        <v>1846.15384615384</v>
      </c>
      <c r="L41" s="117" t="n">
        <f aca="false">'Monthly P&amp;L'!L10*$C$6-IF(COLUMN()-COLUMN($B$41)&lt;$C$11,0,INDEX('Monthly P&amp;L'!$B$10:$Y$10,1,COLUMN()-COLUMN($B$41)+1-$C$11)*$C$6)</f>
        <v>1846.15384615385</v>
      </c>
      <c r="M41" s="117" t="n">
        <f aca="false">'Monthly P&amp;L'!M10*$C$6-IF(COLUMN()-COLUMN($B$41)&lt;$C$11,0,INDEX('Monthly P&amp;L'!$B$10:$Y$10,1,COLUMN()-COLUMN($B$41)+1-$C$11)*$C$6)</f>
        <v>2230.76923076923</v>
      </c>
      <c r="N41" s="117" t="n">
        <f aca="false">'Monthly P&amp;L'!N10*$C$6-IF(COLUMN()-COLUMN($B$41)&lt;$C$11,0,INDEX('Monthly P&amp;L'!$B$10:$Y$10,1,COLUMN()-COLUMN($B$41)+1-$C$11)*$C$6)</f>
        <v>1846.15384615385</v>
      </c>
      <c r="O41" s="117" t="n">
        <f aca="false">'Monthly P&amp;L'!O10*$C$6-IF(COLUMN()-COLUMN($B$41)&lt;$C$11,0,INDEX('Monthly P&amp;L'!$B$10:$Y$10,1,COLUMN()-COLUMN($B$41)+1-$C$11)*$C$6)</f>
        <v>2230.76923076923</v>
      </c>
      <c r="P41" s="117" t="n">
        <f aca="false">'Monthly P&amp;L'!P10*$C$6-IF(COLUMN()-COLUMN($B$41)&lt;$C$11,0,INDEX('Monthly P&amp;L'!$B$10:$Y$10,1,COLUMN()-COLUMN($B$41)+1-$C$11)*$C$6)</f>
        <v>1846.15384615384</v>
      </c>
      <c r="Q41" s="117" t="n">
        <f aca="false">'Monthly P&amp;L'!Q10*$C$6-IF(COLUMN()-COLUMN($B$41)&lt;$C$11,0,INDEX('Monthly P&amp;L'!$B$10:$Y$10,1,COLUMN()-COLUMN($B$41)+1-$C$11)*$C$6)</f>
        <v>1846.15384615384</v>
      </c>
      <c r="R41" s="117" t="n">
        <f aca="false">'Monthly P&amp;L'!R10*$C$6-IF(COLUMN()-COLUMN($B$41)&lt;$C$11,0,INDEX('Monthly P&amp;L'!$B$10:$Y$10,1,COLUMN()-COLUMN($B$41)+1-$C$11)*$C$6)</f>
        <v>2230.76923076923</v>
      </c>
      <c r="S41" s="117" t="n">
        <f aca="false">'Monthly P&amp;L'!S10*$C$6-IF(COLUMN()-COLUMN($B$41)&lt;$C$11,0,INDEX('Monthly P&amp;L'!$B$10:$Y$10,1,COLUMN()-COLUMN($B$41)+1-$C$11)*$C$6)</f>
        <v>1846.15384615384</v>
      </c>
      <c r="T41" s="117" t="n">
        <f aca="false">'Monthly P&amp;L'!T10*$C$6-IF(COLUMN()-COLUMN($B$41)&lt;$C$11,0,INDEX('Monthly P&amp;L'!$B$10:$Y$10,1,COLUMN()-COLUMN($B$41)+1-$C$11)*$C$6)</f>
        <v>1846.15384615384</v>
      </c>
      <c r="U41" s="117" t="n">
        <f aca="false">'Monthly P&amp;L'!U10*$C$6-IF(COLUMN()-COLUMN($B$41)&lt;$C$11,0,INDEX('Monthly P&amp;L'!$B$10:$Y$10,1,COLUMN()-COLUMN($B$41)+1-$C$11)*$C$6)</f>
        <v>2230.76923076923</v>
      </c>
      <c r="V41" s="117" t="n">
        <f aca="false">'Monthly P&amp;L'!V10*$C$6-IF(COLUMN()-COLUMN($B$41)&lt;$C$11,0,INDEX('Monthly P&amp;L'!$B$10:$Y$10,1,COLUMN()-COLUMN($B$41)+1-$C$11)*$C$6)</f>
        <v>1846.15384615384</v>
      </c>
      <c r="W41" s="117" t="n">
        <f aca="false">'Monthly P&amp;L'!W10*$C$6-IF(COLUMN()-COLUMN($B$41)&lt;$C$11,0,INDEX('Monthly P&amp;L'!$B$10:$Y$10,1,COLUMN()-COLUMN($B$41)+1-$C$11)*$C$6)</f>
        <v>1846.15384615385</v>
      </c>
      <c r="X41" s="117" t="n">
        <f aca="false">'Monthly P&amp;L'!X10*$C$6-IF(COLUMN()-COLUMN($B$41)&lt;$C$11,0,INDEX('Monthly P&amp;L'!$B$10:$Y$10,1,COLUMN()-COLUMN($B$41)+1-$C$11)*$C$6)</f>
        <v>2230.76923076923</v>
      </c>
      <c r="Y41" s="117" t="n">
        <f aca="false">'Monthly P&amp;L'!Y10*$C$6-IF(COLUMN()-COLUMN($B$41)&lt;$C$11,0,INDEX('Monthly P&amp;L'!$B$10:$Y$10,1,COLUMN()-COLUMN($B$41)+1-$C$11)*$C$6)</f>
        <v>1846.15384615385</v>
      </c>
    </row>
    <row r="42" customFormat="false" ht="15" hidden="false" customHeight="false" outlineLevel="0" collapsed="false">
      <c r="A42" s="116" t="s">
        <v>309</v>
      </c>
      <c r="B42" s="117" t="n">
        <f aca="false">Assumptions!$B$5+B39-B40-B41-Assumptions!$B$31-Assumptions!$B$32/12</f>
        <v>913002.996794872</v>
      </c>
      <c r="C42" s="117" t="n">
        <f aca="false">B42+C39-C40-C41-Assumptions!$B$32/12</f>
        <v>854414.791666667</v>
      </c>
      <c r="D42" s="117" t="n">
        <f aca="false">C42+D39-D40-D41-Assumptions!$B$32/12</f>
        <v>795832.019230769</v>
      </c>
      <c r="E42" s="117" t="n">
        <f aca="false">D42+E39-E40-E41-Assumptions!$B$32/12</f>
        <v>739284.246794872</v>
      </c>
      <c r="F42" s="117" t="n">
        <f aca="false">E42+F39-F40-F41-Assumptions!$B$32/12</f>
        <v>685152.483974359</v>
      </c>
      <c r="G42" s="117" t="n">
        <f aca="false">F42+G39-G40-G41-Assumptions!$B$32/12</f>
        <v>632010.528846154</v>
      </c>
      <c r="H42" s="117" t="n">
        <f aca="false">G42+H39-H40-H41-Assumptions!$B$32/12</f>
        <v>570171.698717949</v>
      </c>
      <c r="I42" s="117" t="n">
        <f aca="false">H42+I39-I40-I41-Assumptions!$B$32/12</f>
        <v>499483.253205128</v>
      </c>
      <c r="J42" s="117" t="n">
        <f aca="false">I42+J39-J40-J41-Assumptions!$B$32/12</f>
        <v>430331.490384616</v>
      </c>
      <c r="K42" s="117" t="n">
        <f aca="false">J42+K39-K40-K41-Assumptions!$B$32/12</f>
        <v>366386.602564103</v>
      </c>
      <c r="L42" s="117" t="n">
        <f aca="false">K42+L39-L40-L41-Assumptions!$B$32/12</f>
        <v>306170.224358974</v>
      </c>
      <c r="M42" s="117" t="n">
        <f aca="false">L42+M39-M40-M41-Assumptions!$B$32/12</f>
        <v>244537.403846154</v>
      </c>
      <c r="N42" s="117" t="n">
        <f aca="false">M42+N39-N40-N41</f>
        <v>184731.25</v>
      </c>
      <c r="O42" s="117" t="n">
        <f aca="false">N42+O39-O40-O41</f>
        <v>141446.153846154</v>
      </c>
      <c r="P42" s="117" t="n">
        <f aca="false">O42+P39-P40-P41</f>
        <v>117477.307692308</v>
      </c>
      <c r="Q42" s="117" t="n">
        <f aca="false">P42+Q39-Q40-Q41</f>
        <v>108065.096153846</v>
      </c>
      <c r="R42" s="117" t="n">
        <f aca="false">Q42+R39-R40-R41</f>
        <v>118345.817307692</v>
      </c>
      <c r="S42" s="117" t="n">
        <f aca="false">R42+S39-S40-S41</f>
        <v>152755.288461538</v>
      </c>
      <c r="T42" s="117" t="n">
        <f aca="false">S42+T39-T40-T41</f>
        <v>213205.769230769</v>
      </c>
      <c r="U42" s="117" t="n">
        <f aca="false">T42+U39-U40-U41</f>
        <v>300130.432692308</v>
      </c>
      <c r="V42" s="117" t="n">
        <f aca="false">U42+V39-V40-V41</f>
        <v>399152.596153846</v>
      </c>
      <c r="W42" s="117" t="n">
        <f aca="false">V42+W39-W40-W41</f>
        <v>501903.269230769</v>
      </c>
      <c r="X42" s="117" t="n">
        <f aca="false">W42+X39-X40-X41</f>
        <v>609253.125</v>
      </c>
      <c r="Y42" s="117" t="n">
        <f aca="false">X42+Y39-Y40-Y41</f>
        <v>726841.105769231</v>
      </c>
    </row>
    <row r="43" customFormat="false" ht="15" hidden="false" customHeight="false" outlineLevel="0" collapsed="false">
      <c r="A43" s="118" t="s">
        <v>342</v>
      </c>
      <c r="B43" s="119" t="n">
        <f aca="false">IF(B39&gt;=0,1,999)</f>
        <v>999</v>
      </c>
      <c r="C43" s="119" t="n">
        <f aca="false">IF(C39&gt;=0,2,999)</f>
        <v>999</v>
      </c>
      <c r="D43" s="119" t="n">
        <f aca="false">IF(D39&gt;=0,3,999)</f>
        <v>999</v>
      </c>
      <c r="E43" s="119" t="n">
        <f aca="false">IF(E39&gt;=0,4,999)</f>
        <v>999</v>
      </c>
      <c r="F43" s="119" t="n">
        <f aca="false">IF(F39&gt;=0,5,999)</f>
        <v>999</v>
      </c>
      <c r="G43" s="119" t="n">
        <f aca="false">IF(G39&gt;=0,6,999)</f>
        <v>999</v>
      </c>
      <c r="H43" s="119" t="n">
        <f aca="false">IF(H39&gt;=0,7,999)</f>
        <v>999</v>
      </c>
      <c r="I43" s="119" t="n">
        <f aca="false">IF(I39&gt;=0,8,999)</f>
        <v>999</v>
      </c>
      <c r="J43" s="119" t="n">
        <f aca="false">IF(J39&gt;=0,9,999)</f>
        <v>999</v>
      </c>
      <c r="K43" s="119" t="n">
        <f aca="false">IF(K39&gt;=0,10,999)</f>
        <v>999</v>
      </c>
      <c r="L43" s="119" t="n">
        <f aca="false">IF(L39&gt;=0,11,999)</f>
        <v>11</v>
      </c>
      <c r="M43" s="119" t="n">
        <f aca="false">IF(M39&gt;=0,12,999)</f>
        <v>12</v>
      </c>
      <c r="N43" s="119" t="n">
        <f aca="false">IF(N39&gt;=0,13,999)</f>
        <v>13</v>
      </c>
      <c r="O43" s="119" t="n">
        <f aca="false">IF(O39&gt;=0,14,999)</f>
        <v>14</v>
      </c>
      <c r="P43" s="119" t="n">
        <f aca="false">IF(P39&gt;=0,15,999)</f>
        <v>15</v>
      </c>
      <c r="Q43" s="119" t="n">
        <f aca="false">IF(Q39&gt;=0,16,999)</f>
        <v>16</v>
      </c>
      <c r="R43" s="119" t="n">
        <f aca="false">IF(R39&gt;=0,17,999)</f>
        <v>17</v>
      </c>
      <c r="S43" s="119" t="n">
        <f aca="false">IF(S39&gt;=0,18,999)</f>
        <v>18</v>
      </c>
      <c r="T43" s="119" t="n">
        <f aca="false">IF(T39&gt;=0,19,999)</f>
        <v>19</v>
      </c>
      <c r="U43" s="119" t="n">
        <f aca="false">IF(U39&gt;=0,20,999)</f>
        <v>20</v>
      </c>
      <c r="V43" s="119" t="n">
        <f aca="false">IF(V39&gt;=0,21,999)</f>
        <v>21</v>
      </c>
      <c r="W43" s="119" t="n">
        <f aca="false">IF(W39&gt;=0,22,999)</f>
        <v>22</v>
      </c>
      <c r="X43" s="119" t="n">
        <f aca="false">IF(X39&gt;=0,23,999)</f>
        <v>23</v>
      </c>
      <c r="Y43" s="119" t="n">
        <f aca="false">IF(Y39&gt;=0,24,999)</f>
        <v>24</v>
      </c>
    </row>
    <row r="45" customFormat="false" ht="15" hidden="false" customHeight="false" outlineLevel="0" collapsed="false">
      <c r="A45" s="113" t="s">
        <v>344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</row>
    <row r="46" customFormat="false" ht="15" hidden="false" customHeight="false" outlineLevel="0" collapsed="false">
      <c r="A46" s="10" t="s">
        <v>150</v>
      </c>
      <c r="B46" s="11" t="str">
        <f aca="false">'Monthly P&amp;L'!B3</f>
        <v>Jul-26</v>
      </c>
      <c r="C46" s="11" t="str">
        <f aca="false">'Monthly P&amp;L'!C3</f>
        <v>Aug-26</v>
      </c>
      <c r="D46" s="11" t="str">
        <f aca="false">'Monthly P&amp;L'!D3</f>
        <v>Sep-26</v>
      </c>
      <c r="E46" s="11" t="str">
        <f aca="false">'Monthly P&amp;L'!E3</f>
        <v>Oct-26</v>
      </c>
      <c r="F46" s="11" t="str">
        <f aca="false">'Monthly P&amp;L'!F3</f>
        <v>Nov-26</v>
      </c>
      <c r="G46" s="11" t="str">
        <f aca="false">'Monthly P&amp;L'!G3</f>
        <v>Dec-26</v>
      </c>
      <c r="H46" s="11" t="str">
        <f aca="false">'Monthly P&amp;L'!H3</f>
        <v>Jan-27</v>
      </c>
      <c r="I46" s="11" t="str">
        <f aca="false">'Monthly P&amp;L'!I3</f>
        <v>Feb-27</v>
      </c>
      <c r="J46" s="11" t="str">
        <f aca="false">'Monthly P&amp;L'!J3</f>
        <v>Mar-27</v>
      </c>
      <c r="K46" s="11" t="str">
        <f aca="false">'Monthly P&amp;L'!K3</f>
        <v>Apr-27</v>
      </c>
      <c r="L46" s="11" t="str">
        <f aca="false">'Monthly P&amp;L'!L3</f>
        <v>May-27</v>
      </c>
      <c r="M46" s="11" t="str">
        <f aca="false">'Monthly P&amp;L'!M3</f>
        <v>Jun-27</v>
      </c>
      <c r="N46" s="11" t="str">
        <f aca="false">'Monthly P&amp;L'!N3</f>
        <v>Jul-27</v>
      </c>
      <c r="O46" s="11" t="str">
        <f aca="false">'Monthly P&amp;L'!O3</f>
        <v>Aug-27</v>
      </c>
      <c r="P46" s="11" t="str">
        <f aca="false">'Monthly P&amp;L'!P3</f>
        <v>Sep-27</v>
      </c>
      <c r="Q46" s="11" t="str">
        <f aca="false">'Monthly P&amp;L'!Q3</f>
        <v>Oct-27</v>
      </c>
      <c r="R46" s="11" t="str">
        <f aca="false">'Monthly P&amp;L'!R3</f>
        <v>Nov-27</v>
      </c>
      <c r="S46" s="11" t="str">
        <f aca="false">'Monthly P&amp;L'!S3</f>
        <v>Dec-27</v>
      </c>
      <c r="T46" s="11" t="str">
        <f aca="false">'Monthly P&amp;L'!T3</f>
        <v>Jan-28</v>
      </c>
      <c r="U46" s="11" t="str">
        <f aca="false">'Monthly P&amp;L'!U3</f>
        <v>Feb-28</v>
      </c>
      <c r="V46" s="11" t="str">
        <f aca="false">'Monthly P&amp;L'!V3</f>
        <v>Mar-28</v>
      </c>
      <c r="W46" s="11" t="str">
        <f aca="false">'Monthly P&amp;L'!W3</f>
        <v>Apr-28</v>
      </c>
      <c r="X46" s="11" t="str">
        <f aca="false">'Monthly P&amp;L'!X3</f>
        <v>May-28</v>
      </c>
      <c r="Y46" s="12" t="str">
        <f aca="false">'Monthly P&amp;L'!Y3</f>
        <v>Jun-28</v>
      </c>
    </row>
    <row r="47" customFormat="false" ht="15" hidden="false" customHeight="false" outlineLevel="0" collapsed="false">
      <c r="A47" s="114" t="s">
        <v>189</v>
      </c>
      <c r="B47" s="115" t="n">
        <f aca="false">'Monthly P&amp;L'!B9*$D$5*$D$7+'Monthly P&amp;L'!B10*$D$6*$D$8-'Monthly P&amp;L'!B15*$D$9</f>
        <v>-42011.5384615385</v>
      </c>
      <c r="C47" s="115" t="n">
        <f aca="false">'Monthly P&amp;L'!C9*$D$5*$D$7+'Monthly P&amp;L'!C10*$D$6*$D$8-'Monthly P&amp;L'!C15*$D$9</f>
        <v>-38280.7692307692</v>
      </c>
      <c r="D47" s="115" t="n">
        <f aca="false">'Monthly P&amp;L'!D9*$D$5*$D$7+'Monthly P&amp;L'!D10*$D$6*$D$8-'Monthly P&amp;L'!D15*$D$9</f>
        <v>-34333.6538461538</v>
      </c>
      <c r="E47" s="115" t="n">
        <f aca="false">'Monthly P&amp;L'!E9*$D$5*$D$7+'Monthly P&amp;L'!E10*$D$6*$D$8-'Monthly P&amp;L'!E15*$D$9</f>
        <v>-30064.4230769231</v>
      </c>
      <c r="F47" s="115" t="n">
        <f aca="false">'Monthly P&amp;L'!F9*$D$5*$D$7+'Monthly P&amp;L'!F10*$D$6*$D$8-'Monthly P&amp;L'!F15*$D$9</f>
        <v>-26333.6538461538</v>
      </c>
      <c r="G47" s="115" t="n">
        <f aca="false">'Monthly P&amp;L'!G9*$D$5*$D$7+'Monthly P&amp;L'!G10*$D$6*$D$8-'Monthly P&amp;L'!G15*$D$9</f>
        <v>-20771.1538461538</v>
      </c>
      <c r="H47" s="115" t="n">
        <f aca="false">'Monthly P&amp;L'!H9*$D$5*$D$7+'Monthly P&amp;L'!H10*$D$6*$D$8-'Monthly P&amp;L'!H15*$D$9</f>
        <v>-12778.8461538462</v>
      </c>
      <c r="I47" s="115" t="n">
        <f aca="false">'Monthly P&amp;L'!I9*$D$5*$D$7+'Monthly P&amp;L'!I10*$D$6*$D$8-'Monthly P&amp;L'!I15*$D$9</f>
        <v>1182.69230769231</v>
      </c>
      <c r="J47" s="115" t="n">
        <f aca="false">'Monthly P&amp;L'!J9*$D$5*$D$7+'Monthly P&amp;L'!J10*$D$6*$D$8-'Monthly P&amp;L'!J15*$D$9</f>
        <v>14822.1153846154</v>
      </c>
      <c r="K47" s="115" t="n">
        <f aca="false">'Monthly P&amp;L'!K9*$D$5*$D$7+'Monthly P&amp;L'!K10*$D$6*$D$8-'Monthly P&amp;L'!K15*$D$9</f>
        <v>31475.9615384615</v>
      </c>
      <c r="L47" s="115" t="n">
        <f aca="false">'Monthly P&amp;L'!L9*$D$5*$D$7+'Monthly P&amp;L'!L10*$D$6*$D$8-'Monthly P&amp;L'!L15*$D$9</f>
        <v>48129.8076923077</v>
      </c>
      <c r="M47" s="115" t="n">
        <f aca="false">'Monthly P&amp;L'!M9*$D$5*$D$7+'Monthly P&amp;L'!M10*$D$6*$D$8-'Monthly P&amp;L'!M15*$D$9</f>
        <v>73076.9230769231</v>
      </c>
      <c r="N47" s="115" t="n">
        <f aca="false">'Monthly P&amp;L'!N9*$D$5*$D$7+'Monthly P&amp;L'!N10*$D$6*$D$8-'Monthly P&amp;L'!N15*$D$9</f>
        <v>98884.6153846154</v>
      </c>
      <c r="O47" s="115" t="n">
        <f aca="false">'Monthly P&amp;L'!O9*$D$5*$D$7+'Monthly P&amp;L'!O10*$D$6*$D$8-'Monthly P&amp;L'!O15*$D$9</f>
        <v>122754.807692308</v>
      </c>
      <c r="P47" s="115" t="n">
        <f aca="false">'Monthly P&amp;L'!P9*$D$5*$D$7+'Monthly P&amp;L'!P10*$D$6*$D$8-'Monthly P&amp;L'!P15*$D$9</f>
        <v>146408.653846154</v>
      </c>
      <c r="Q47" s="115" t="n">
        <f aca="false">'Monthly P&amp;L'!Q9*$D$5*$D$7+'Monthly P&amp;L'!Q10*$D$6*$D$8-'Monthly P&amp;L'!Q15*$D$9</f>
        <v>170062.5</v>
      </c>
      <c r="R47" s="115" t="n">
        <f aca="false">'Monthly P&amp;L'!R9*$D$5*$D$7+'Monthly P&amp;L'!R10*$D$6*$D$8-'Monthly P&amp;L'!R15*$D$9</f>
        <v>190163.461538462</v>
      </c>
      <c r="S47" s="115" t="n">
        <f aca="false">'Monthly P&amp;L'!S9*$D$5*$D$7+'Monthly P&amp;L'!S10*$D$6*$D$8-'Monthly P&amp;L'!S15*$D$9</f>
        <v>207355.769230769</v>
      </c>
      <c r="T47" s="115" t="n">
        <f aca="false">'Monthly P&amp;L'!T9*$D$5*$D$7+'Monthly P&amp;L'!T10*$D$6*$D$8-'Monthly P&amp;L'!T15*$D$9</f>
        <v>217548.076923077</v>
      </c>
      <c r="U47" s="115" t="n">
        <f aca="false">'Monthly P&amp;L'!U9*$D$5*$D$7+'Monthly P&amp;L'!U10*$D$6*$D$8-'Monthly P&amp;L'!U15*$D$9</f>
        <v>223649.038461539</v>
      </c>
      <c r="V47" s="115" t="n">
        <f aca="false">'Monthly P&amp;L'!V9*$D$5*$D$7+'Monthly P&amp;L'!V10*$D$6*$D$8-'Monthly P&amp;L'!V15*$D$9</f>
        <v>230072.115384615</v>
      </c>
      <c r="W47" s="115" t="n">
        <f aca="false">'Monthly P&amp;L'!W9*$D$5*$D$7+'Monthly P&amp;L'!W10*$D$6*$D$8-'Monthly P&amp;L'!W15*$D$9</f>
        <v>235956.730769231</v>
      </c>
      <c r="X47" s="115" t="n">
        <f aca="false">'Monthly P&amp;L'!X9*$D$5*$D$7+'Monthly P&amp;L'!X10*$D$6*$D$8-'Monthly P&amp;L'!X15*$D$9</f>
        <v>242057.692307692</v>
      </c>
      <c r="Y47" s="115" t="n">
        <f aca="false">'Monthly P&amp;L'!Y9*$D$5*$D$7+'Monthly P&amp;L'!Y10*$D$6*$D$8-'Monthly P&amp;L'!Y15*$D$9</f>
        <v>243634.615384615</v>
      </c>
    </row>
    <row r="48" customFormat="false" ht="15" hidden="false" customHeight="false" outlineLevel="0" collapsed="false">
      <c r="A48" s="116" t="s">
        <v>340</v>
      </c>
      <c r="B48" s="117" t="n">
        <f aca="false">'Monthly P&amp;L'!B9*$D$5-IF(COLUMN()-COLUMN($B$48)&lt;$D$10,0,INDEX('Monthly P&amp;L'!$B$9:$Y$9,1,COLUMN()-COLUMN($B$48)+1-$D$10)*$D$5)</f>
        <v>5048.07692307692</v>
      </c>
      <c r="C48" s="117" t="n">
        <f aca="false">'Monthly P&amp;L'!C9*$D$5-IF(COLUMN()-COLUMN($B$48)&lt;$D$10,0,INDEX('Monthly P&amp;L'!$B$9:$Y$9,1,COLUMN()-COLUMN($B$48)+1-$D$10)*$D$5)</f>
        <v>13461.5384615385</v>
      </c>
      <c r="D48" s="117" t="n">
        <f aca="false">'Monthly P&amp;L'!D9*$D$5-IF(COLUMN()-COLUMN($B$48)&lt;$D$10,0,INDEX('Monthly P&amp;L'!$B$9:$Y$9,1,COLUMN()-COLUMN($B$48)+1-$D$10)*$D$5)</f>
        <v>16826.9230769231</v>
      </c>
      <c r="E48" s="117" t="n">
        <f aca="false">'Monthly P&amp;L'!E9*$D$5-IF(COLUMN()-COLUMN($B$48)&lt;$D$10,0,INDEX('Monthly P&amp;L'!$B$9:$Y$9,1,COLUMN()-COLUMN($B$48)+1-$D$10)*$D$5)</f>
        <v>18509.6153846154</v>
      </c>
      <c r="F48" s="117" t="n">
        <f aca="false">'Monthly P&amp;L'!F9*$D$5-IF(COLUMN()-COLUMN($B$48)&lt;$D$10,0,INDEX('Monthly P&amp;L'!$B$9:$Y$9,1,COLUMN()-COLUMN($B$48)+1-$D$10)*$D$5)</f>
        <v>18509.6153846154</v>
      </c>
      <c r="G48" s="117" t="n">
        <f aca="false">'Monthly P&amp;L'!G9*$D$5-IF(COLUMN()-COLUMN($B$48)&lt;$D$10,0,INDEX('Monthly P&amp;L'!$B$9:$Y$9,1,COLUMN()-COLUMN($B$48)+1-$D$10)*$D$5)</f>
        <v>21875</v>
      </c>
      <c r="H48" s="117" t="n">
        <f aca="false">'Monthly P&amp;L'!H9*$D$5-IF(COLUMN()-COLUMN($B$48)&lt;$D$10,0,INDEX('Monthly P&amp;L'!$B$9:$Y$9,1,COLUMN()-COLUMN($B$48)+1-$D$10)*$D$5)</f>
        <v>42067.3076923077</v>
      </c>
      <c r="I48" s="117" t="n">
        <f aca="false">'Monthly P&amp;L'!I9*$D$5-IF(COLUMN()-COLUMN($B$48)&lt;$D$10,0,INDEX('Monthly P&amp;L'!$B$9:$Y$9,1,COLUMN()-COLUMN($B$48)+1-$D$10)*$D$5)</f>
        <v>68990.3846153846</v>
      </c>
      <c r="J48" s="117" t="n">
        <f aca="false">'Monthly P&amp;L'!J9*$D$5-IF(COLUMN()-COLUMN($B$48)&lt;$D$10,0,INDEX('Monthly P&amp;L'!$B$9:$Y$9,1,COLUMN()-COLUMN($B$48)+1-$D$10)*$D$5)</f>
        <v>79086.5384615385</v>
      </c>
      <c r="K48" s="117" t="n">
        <f aca="false">'Monthly P&amp;L'!K9*$D$5-IF(COLUMN()-COLUMN($B$48)&lt;$D$10,0,INDEX('Monthly P&amp;L'!$B$9:$Y$9,1,COLUMN()-COLUMN($B$48)+1-$D$10)*$D$5)</f>
        <v>87500</v>
      </c>
      <c r="L48" s="117" t="n">
        <f aca="false">'Monthly P&amp;L'!L9*$D$5-IF(COLUMN()-COLUMN($B$48)&lt;$D$10,0,INDEX('Monthly P&amp;L'!$B$9:$Y$9,1,COLUMN()-COLUMN($B$48)+1-$D$10)*$D$5)</f>
        <v>97596.1538461538</v>
      </c>
      <c r="M48" s="117" t="n">
        <f aca="false">'Monthly P&amp;L'!M9*$D$5-IF(COLUMN()-COLUMN($B$48)&lt;$D$10,0,INDEX('Monthly P&amp;L'!$B$9:$Y$9,1,COLUMN()-COLUMN($B$48)+1-$D$10)*$D$5)</f>
        <v>122836.538461538</v>
      </c>
      <c r="N48" s="117" t="n">
        <f aca="false">'Monthly P&amp;L'!N9*$D$5-IF(COLUMN()-COLUMN($B$48)&lt;$D$10,0,INDEX('Monthly P&amp;L'!$B$9:$Y$9,1,COLUMN()-COLUMN($B$48)+1-$D$10)*$D$5)</f>
        <v>151442.307692308</v>
      </c>
      <c r="O48" s="117" t="n">
        <f aca="false">'Monthly P&amp;L'!O9*$D$5-IF(COLUMN()-COLUMN($B$48)&lt;$D$10,0,INDEX('Monthly P&amp;L'!$B$9:$Y$9,1,COLUMN()-COLUMN($B$48)+1-$D$10)*$D$5)</f>
        <v>148076.923076923</v>
      </c>
      <c r="P48" s="117" t="n">
        <f aca="false">'Monthly P&amp;L'!P9*$D$5-IF(COLUMN()-COLUMN($B$48)&lt;$D$10,0,INDEX('Monthly P&amp;L'!$B$9:$Y$9,1,COLUMN()-COLUMN($B$48)+1-$D$10)*$D$5)</f>
        <v>141346.153846154</v>
      </c>
      <c r="Q48" s="117" t="n">
        <f aca="false">'Monthly P&amp;L'!Q9*$D$5-IF(COLUMN()-COLUMN($B$48)&lt;$D$10,0,INDEX('Monthly P&amp;L'!$B$9:$Y$9,1,COLUMN()-COLUMN($B$48)+1-$D$10)*$D$5)</f>
        <v>141346.153846154</v>
      </c>
      <c r="R48" s="117" t="n">
        <f aca="false">'Monthly P&amp;L'!R9*$D$5-IF(COLUMN()-COLUMN($B$48)&lt;$D$10,0,INDEX('Monthly P&amp;L'!$B$9:$Y$9,1,COLUMN()-COLUMN($B$48)+1-$D$10)*$D$5)</f>
        <v>129567.307692308</v>
      </c>
      <c r="S48" s="117" t="n">
        <f aca="false">'Monthly P&amp;L'!S9*$D$5-IF(COLUMN()-COLUMN($B$48)&lt;$D$10,0,INDEX('Monthly P&amp;L'!$B$9:$Y$9,1,COLUMN()-COLUMN($B$48)+1-$D$10)*$D$5)</f>
        <v>109375</v>
      </c>
      <c r="T48" s="117" t="n">
        <f aca="false">'Monthly P&amp;L'!T9*$D$5-IF(COLUMN()-COLUMN($B$48)&lt;$D$10,0,INDEX('Monthly P&amp;L'!$B$9:$Y$9,1,COLUMN()-COLUMN($B$48)+1-$D$10)*$D$5)</f>
        <v>79086.5384615384</v>
      </c>
      <c r="U48" s="117" t="n">
        <f aca="false">'Monthly P&amp;L'!U9*$D$5-IF(COLUMN()-COLUMN($B$48)&lt;$D$10,0,INDEX('Monthly P&amp;L'!$B$9:$Y$9,1,COLUMN()-COLUMN($B$48)+1-$D$10)*$D$5)</f>
        <v>43750</v>
      </c>
      <c r="V48" s="117" t="n">
        <f aca="false">'Monthly P&amp;L'!V9*$D$5-IF(COLUMN()-COLUMN($B$48)&lt;$D$10,0,INDEX('Monthly P&amp;L'!$B$9:$Y$9,1,COLUMN()-COLUMN($B$48)+1-$D$10)*$D$5)</f>
        <v>31971.1538461539</v>
      </c>
      <c r="W48" s="117" t="n">
        <f aca="false">'Monthly P&amp;L'!W9*$D$5-IF(COLUMN()-COLUMN($B$48)&lt;$D$10,0,INDEX('Monthly P&amp;L'!$B$9:$Y$9,1,COLUMN()-COLUMN($B$48)+1-$D$10)*$D$5)</f>
        <v>31971.1538461538</v>
      </c>
      <c r="X48" s="117" t="n">
        <f aca="false">'Monthly P&amp;L'!X9*$D$5-IF(COLUMN()-COLUMN($B$48)&lt;$D$10,0,INDEX('Monthly P&amp;L'!$B$9:$Y$9,1,COLUMN()-COLUMN($B$48)+1-$D$10)*$D$5)</f>
        <v>30288.4615384615</v>
      </c>
      <c r="Y48" s="117" t="n">
        <f aca="false">'Monthly P&amp;L'!Y9*$D$5-IF(COLUMN()-COLUMN($B$48)&lt;$D$10,0,INDEX('Monthly P&amp;L'!$B$9:$Y$9,1,COLUMN()-COLUMN($B$48)+1-$D$10)*$D$5)</f>
        <v>16826.9230769231</v>
      </c>
    </row>
    <row r="49" customFormat="false" ht="15" hidden="false" customHeight="false" outlineLevel="0" collapsed="false">
      <c r="A49" s="116" t="s">
        <v>341</v>
      </c>
      <c r="B49" s="117" t="n">
        <f aca="false">'Monthly P&amp;L'!B10*$D$6-IF(COLUMN()-COLUMN($B$49)&lt;$D$11,0,INDEX('Monthly P&amp;L'!$B$10:$Y$10,1,COLUMN()-COLUMN($B$49)+1-$D$11)*$D$6)</f>
        <v>10384.6153846154</v>
      </c>
      <c r="C49" s="117" t="n">
        <f aca="false">'Monthly P&amp;L'!C10*$D$6-IF(COLUMN()-COLUMN($B$49)&lt;$D$11,0,INDEX('Monthly P&amp;L'!$B$10:$Y$10,1,COLUMN()-COLUMN($B$49)+1-$D$11)*$D$6)</f>
        <v>2307.69230769231</v>
      </c>
      <c r="D49" s="117" t="n">
        <f aca="false">'Monthly P&amp;L'!D10*$D$6-IF(COLUMN()-COLUMN($B$49)&lt;$D$11,0,INDEX('Monthly P&amp;L'!$B$10:$Y$10,1,COLUMN()-COLUMN($B$49)+1-$D$11)*$D$6)</f>
        <v>2788.46153846154</v>
      </c>
      <c r="E49" s="117" t="n">
        <f aca="false">'Monthly P&amp;L'!E10*$D$6-IF(COLUMN()-COLUMN($B$49)&lt;$D$11,0,INDEX('Monthly P&amp;L'!$B$10:$Y$10,1,COLUMN()-COLUMN($B$49)+1-$D$11)*$D$6)</f>
        <v>2307.69230769231</v>
      </c>
      <c r="F49" s="117" t="n">
        <f aca="false">'Monthly P&amp;L'!F10*$D$6-IF(COLUMN()-COLUMN($B$49)&lt;$D$11,0,INDEX('Monthly P&amp;L'!$B$10:$Y$10,1,COLUMN()-COLUMN($B$49)+1-$D$11)*$D$6)</f>
        <v>2307.69230769231</v>
      </c>
      <c r="G49" s="117" t="n">
        <f aca="false">'Monthly P&amp;L'!G10*$D$6-IF(COLUMN()-COLUMN($B$49)&lt;$D$11,0,INDEX('Monthly P&amp;L'!$B$10:$Y$10,1,COLUMN()-COLUMN($B$49)+1-$D$11)*$D$6)</f>
        <v>2788.46153846154</v>
      </c>
      <c r="H49" s="117" t="n">
        <f aca="false">'Monthly P&amp;L'!H10*$D$6-IF(COLUMN()-COLUMN($B$49)&lt;$D$11,0,INDEX('Monthly P&amp;L'!$B$10:$Y$10,1,COLUMN()-COLUMN($B$49)+1-$D$11)*$D$6)</f>
        <v>2307.69230769231</v>
      </c>
      <c r="I49" s="117" t="n">
        <f aca="false">'Monthly P&amp;L'!I10*$D$6-IF(COLUMN()-COLUMN($B$49)&lt;$D$11,0,INDEX('Monthly P&amp;L'!$B$10:$Y$10,1,COLUMN()-COLUMN($B$49)+1-$D$11)*$D$6)</f>
        <v>2307.69230769231</v>
      </c>
      <c r="J49" s="117" t="n">
        <f aca="false">'Monthly P&amp;L'!J10*$D$6-IF(COLUMN()-COLUMN($B$49)&lt;$D$11,0,INDEX('Monthly P&amp;L'!$B$10:$Y$10,1,COLUMN()-COLUMN($B$49)+1-$D$11)*$D$6)</f>
        <v>2788.46153846154</v>
      </c>
      <c r="K49" s="117" t="n">
        <f aca="false">'Monthly P&amp;L'!K10*$D$6-IF(COLUMN()-COLUMN($B$49)&lt;$D$11,0,INDEX('Monthly P&amp;L'!$B$10:$Y$10,1,COLUMN()-COLUMN($B$49)+1-$D$11)*$D$6)</f>
        <v>2307.69230769231</v>
      </c>
      <c r="L49" s="117" t="n">
        <f aca="false">'Monthly P&amp;L'!L10*$D$6-IF(COLUMN()-COLUMN($B$49)&lt;$D$11,0,INDEX('Monthly P&amp;L'!$B$10:$Y$10,1,COLUMN()-COLUMN($B$49)+1-$D$11)*$D$6)</f>
        <v>2307.69230769231</v>
      </c>
      <c r="M49" s="117" t="n">
        <f aca="false">'Monthly P&amp;L'!M10*$D$6-IF(COLUMN()-COLUMN($B$49)&lt;$D$11,0,INDEX('Monthly P&amp;L'!$B$10:$Y$10,1,COLUMN()-COLUMN($B$49)+1-$D$11)*$D$6)</f>
        <v>2788.46153846153</v>
      </c>
      <c r="N49" s="117" t="n">
        <f aca="false">'Monthly P&amp;L'!N10*$D$6-IF(COLUMN()-COLUMN($B$49)&lt;$D$11,0,INDEX('Monthly P&amp;L'!$B$10:$Y$10,1,COLUMN()-COLUMN($B$49)+1-$D$11)*$D$6)</f>
        <v>2307.69230769231</v>
      </c>
      <c r="O49" s="117" t="n">
        <f aca="false">'Monthly P&amp;L'!O10*$D$6-IF(COLUMN()-COLUMN($B$49)&lt;$D$11,0,INDEX('Monthly P&amp;L'!$B$10:$Y$10,1,COLUMN()-COLUMN($B$49)+1-$D$11)*$D$6)</f>
        <v>2788.46153846154</v>
      </c>
      <c r="P49" s="117" t="n">
        <f aca="false">'Monthly P&amp;L'!P10*$D$6-IF(COLUMN()-COLUMN($B$49)&lt;$D$11,0,INDEX('Monthly P&amp;L'!$B$10:$Y$10,1,COLUMN()-COLUMN($B$49)+1-$D$11)*$D$6)</f>
        <v>2307.69230769231</v>
      </c>
      <c r="Q49" s="117" t="n">
        <f aca="false">'Monthly P&amp;L'!Q10*$D$6-IF(COLUMN()-COLUMN($B$49)&lt;$D$11,0,INDEX('Monthly P&amp;L'!$B$10:$Y$10,1,COLUMN()-COLUMN($B$49)+1-$D$11)*$D$6)</f>
        <v>2307.69230769231</v>
      </c>
      <c r="R49" s="117" t="n">
        <f aca="false">'Monthly P&amp;L'!R10*$D$6-IF(COLUMN()-COLUMN($B$49)&lt;$D$11,0,INDEX('Monthly P&amp;L'!$B$10:$Y$10,1,COLUMN()-COLUMN($B$49)+1-$D$11)*$D$6)</f>
        <v>2788.46153846154</v>
      </c>
      <c r="S49" s="117" t="n">
        <f aca="false">'Monthly P&amp;L'!S10*$D$6-IF(COLUMN()-COLUMN($B$49)&lt;$D$11,0,INDEX('Monthly P&amp;L'!$B$10:$Y$10,1,COLUMN()-COLUMN($B$49)+1-$D$11)*$D$6)</f>
        <v>2307.69230769231</v>
      </c>
      <c r="T49" s="117" t="n">
        <f aca="false">'Monthly P&amp;L'!T10*$D$6-IF(COLUMN()-COLUMN($B$49)&lt;$D$11,0,INDEX('Monthly P&amp;L'!$B$10:$Y$10,1,COLUMN()-COLUMN($B$49)+1-$D$11)*$D$6)</f>
        <v>2307.69230769231</v>
      </c>
      <c r="U49" s="117" t="n">
        <f aca="false">'Monthly P&amp;L'!U10*$D$6-IF(COLUMN()-COLUMN($B$49)&lt;$D$11,0,INDEX('Monthly P&amp;L'!$B$10:$Y$10,1,COLUMN()-COLUMN($B$49)+1-$D$11)*$D$6)</f>
        <v>2788.46153846154</v>
      </c>
      <c r="V49" s="117" t="n">
        <f aca="false">'Monthly P&amp;L'!V10*$D$6-IF(COLUMN()-COLUMN($B$49)&lt;$D$11,0,INDEX('Monthly P&amp;L'!$B$10:$Y$10,1,COLUMN()-COLUMN($B$49)+1-$D$11)*$D$6)</f>
        <v>2307.69230769231</v>
      </c>
      <c r="W49" s="117" t="n">
        <f aca="false">'Monthly P&amp;L'!W10*$D$6-IF(COLUMN()-COLUMN($B$49)&lt;$D$11,0,INDEX('Monthly P&amp;L'!$B$10:$Y$10,1,COLUMN()-COLUMN($B$49)+1-$D$11)*$D$6)</f>
        <v>2307.69230769231</v>
      </c>
      <c r="X49" s="117" t="n">
        <f aca="false">'Monthly P&amp;L'!X10*$D$6-IF(COLUMN()-COLUMN($B$49)&lt;$D$11,0,INDEX('Monthly P&amp;L'!$B$10:$Y$10,1,COLUMN()-COLUMN($B$49)+1-$D$11)*$D$6)</f>
        <v>2788.46153846154</v>
      </c>
      <c r="Y49" s="117" t="n">
        <f aca="false">'Monthly P&amp;L'!Y10*$D$6-IF(COLUMN()-COLUMN($B$49)&lt;$D$11,0,INDEX('Monthly P&amp;L'!$B$10:$Y$10,1,COLUMN()-COLUMN($B$49)+1-$D$11)*$D$6)</f>
        <v>2307.69230769231</v>
      </c>
    </row>
    <row r="50" customFormat="false" ht="15" hidden="false" customHeight="false" outlineLevel="0" collapsed="false">
      <c r="A50" s="116" t="s">
        <v>309</v>
      </c>
      <c r="B50" s="117" t="n">
        <f aca="false">Assumptions!$B$5+B47-B48-B49-Assumptions!$B$31-Assumptions!$B$32/12</f>
        <v>913389.102564103</v>
      </c>
      <c r="C50" s="117" t="n">
        <f aca="false">B50+C47-C48-C49-Assumptions!$B$32/12</f>
        <v>855172.435897436</v>
      </c>
      <c r="D50" s="117" t="n">
        <f aca="false">C50+D47-D48-D49-Assumptions!$B$32/12</f>
        <v>797056.730769231</v>
      </c>
      <c r="E50" s="117" t="n">
        <f aca="false">D50+E47-E48-E49-Assumptions!$B$32/12</f>
        <v>742008.333333334</v>
      </c>
      <c r="F50" s="117" t="n">
        <f aca="false">E50+F47-F48-F49-Assumptions!$B$32/12</f>
        <v>690690.705128205</v>
      </c>
      <c r="G50" s="117" t="n">
        <f aca="false">F50+G47-G48-G49-Assumptions!$B$32/12</f>
        <v>641089.423076923</v>
      </c>
      <c r="H50" s="117" t="n">
        <f aca="false">G50+H47-H48-H49-Assumptions!$B$32/12</f>
        <v>579768.910256411</v>
      </c>
      <c r="I50" s="117" t="n">
        <f aca="false">H50+I47-I48-I49-Assumptions!$B$32/12</f>
        <v>505486.858974359</v>
      </c>
      <c r="J50" s="117" t="n">
        <f aca="false">I50+J47-J48-J49-Assumptions!$B$32/12</f>
        <v>434267.307692308</v>
      </c>
      <c r="K50" s="117" t="n">
        <f aca="false">J50+K47-K48-K49-Assumptions!$B$32/12</f>
        <v>371768.910256411</v>
      </c>
      <c r="L50" s="117" t="n">
        <f aca="false">K50+L47-L48-L49-Assumptions!$B$32/12</f>
        <v>315828.205128205</v>
      </c>
      <c r="M50" s="117" t="n">
        <f aca="false">L50+M47-M48-M49-Assumptions!$B$32/12</f>
        <v>259113.461538462</v>
      </c>
      <c r="N50" s="117" t="n">
        <f aca="false">M50+N47-N48-N49</f>
        <v>204248.076923077</v>
      </c>
      <c r="O50" s="117" t="n">
        <f aca="false">N50+O47-O48-O49</f>
        <v>176137.5</v>
      </c>
      <c r="P50" s="117" t="n">
        <f aca="false">O50+P47-P48-P49</f>
        <v>178892.307692308</v>
      </c>
      <c r="Q50" s="117" t="n">
        <f aca="false">P50+Q47-Q48-Q49</f>
        <v>205300.961538462</v>
      </c>
      <c r="R50" s="117" t="n">
        <f aca="false">Q50+R47-R48-R49</f>
        <v>263108.653846154</v>
      </c>
      <c r="S50" s="117" t="n">
        <f aca="false">R50+S47-S48-S49</f>
        <v>358781.730769231</v>
      </c>
      <c r="T50" s="117" t="n">
        <f aca="false">S50+T47-T48-T49</f>
        <v>494935.576923077</v>
      </c>
      <c r="U50" s="117" t="n">
        <f aca="false">T50+U47-U48-U49</f>
        <v>672046.153846154</v>
      </c>
      <c r="V50" s="117" t="n">
        <f aca="false">U50+V47-V48-V49</f>
        <v>867839.423076924</v>
      </c>
      <c r="W50" s="117" t="n">
        <f aca="false">V50+W47-W48-W49</f>
        <v>1069517.30769231</v>
      </c>
      <c r="X50" s="117" t="n">
        <f aca="false">W50+X47-X48-X49</f>
        <v>1278498.07692308</v>
      </c>
      <c r="Y50" s="117" t="n">
        <f aca="false">X50+Y47-Y48-Y49</f>
        <v>1502998.07692308</v>
      </c>
    </row>
    <row r="51" customFormat="false" ht="15" hidden="false" customHeight="false" outlineLevel="0" collapsed="false">
      <c r="A51" s="118" t="s">
        <v>342</v>
      </c>
      <c r="B51" s="119" t="n">
        <f aca="false">IF(B47&gt;=0,1,999)</f>
        <v>999</v>
      </c>
      <c r="C51" s="119" t="n">
        <f aca="false">IF(C47&gt;=0,2,999)</f>
        <v>999</v>
      </c>
      <c r="D51" s="119" t="n">
        <f aca="false">IF(D47&gt;=0,3,999)</f>
        <v>999</v>
      </c>
      <c r="E51" s="119" t="n">
        <f aca="false">IF(E47&gt;=0,4,999)</f>
        <v>999</v>
      </c>
      <c r="F51" s="119" t="n">
        <f aca="false">IF(F47&gt;=0,5,999)</f>
        <v>999</v>
      </c>
      <c r="G51" s="119" t="n">
        <f aca="false">IF(G47&gt;=0,6,999)</f>
        <v>999</v>
      </c>
      <c r="H51" s="119" t="n">
        <f aca="false">IF(H47&gt;=0,7,999)</f>
        <v>999</v>
      </c>
      <c r="I51" s="119" t="n">
        <f aca="false">IF(I47&gt;=0,8,999)</f>
        <v>8</v>
      </c>
      <c r="J51" s="119" t="n">
        <f aca="false">IF(J47&gt;=0,9,999)</f>
        <v>9</v>
      </c>
      <c r="K51" s="119" t="n">
        <f aca="false">IF(K47&gt;=0,10,999)</f>
        <v>10</v>
      </c>
      <c r="L51" s="119" t="n">
        <f aca="false">IF(L47&gt;=0,11,999)</f>
        <v>11</v>
      </c>
      <c r="M51" s="119" t="n">
        <f aca="false">IF(M47&gt;=0,12,999)</f>
        <v>12</v>
      </c>
      <c r="N51" s="119" t="n">
        <f aca="false">IF(N47&gt;=0,13,999)</f>
        <v>13</v>
      </c>
      <c r="O51" s="119" t="n">
        <f aca="false">IF(O47&gt;=0,14,999)</f>
        <v>14</v>
      </c>
      <c r="P51" s="119" t="n">
        <f aca="false">IF(P47&gt;=0,15,999)</f>
        <v>15</v>
      </c>
      <c r="Q51" s="119" t="n">
        <f aca="false">IF(Q47&gt;=0,16,999)</f>
        <v>16</v>
      </c>
      <c r="R51" s="119" t="n">
        <f aca="false">IF(R47&gt;=0,17,999)</f>
        <v>17</v>
      </c>
      <c r="S51" s="119" t="n">
        <f aca="false">IF(S47&gt;=0,18,999)</f>
        <v>18</v>
      </c>
      <c r="T51" s="119" t="n">
        <f aca="false">IF(T47&gt;=0,19,999)</f>
        <v>19</v>
      </c>
      <c r="U51" s="119" t="n">
        <f aca="false">IF(U47&gt;=0,20,999)</f>
        <v>20</v>
      </c>
      <c r="V51" s="119" t="n">
        <f aca="false">IF(V47&gt;=0,21,999)</f>
        <v>21</v>
      </c>
      <c r="W51" s="119" t="n">
        <f aca="false">IF(W47&gt;=0,22,999)</f>
        <v>22</v>
      </c>
      <c r="X51" s="119" t="n">
        <f aca="false">IF(X47&gt;=0,23,999)</f>
        <v>23</v>
      </c>
      <c r="Y51" s="119" t="n">
        <f aca="false">IF(Y47&gt;=0,24,999)</f>
        <v>24</v>
      </c>
    </row>
    <row r="53" customFormat="false" ht="15" hidden="false" customHeight="false" outlineLevel="0" collapsed="false">
      <c r="A53" s="113" t="s">
        <v>345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</row>
    <row r="54" customFormat="false" ht="15" hidden="false" customHeight="false" outlineLevel="0" collapsed="false">
      <c r="A54" s="10" t="s">
        <v>150</v>
      </c>
      <c r="B54" s="11" t="str">
        <f aca="false">'Monthly P&amp;L'!B3</f>
        <v>Jul-26</v>
      </c>
      <c r="C54" s="11" t="str">
        <f aca="false">'Monthly P&amp;L'!C3</f>
        <v>Aug-26</v>
      </c>
      <c r="D54" s="11" t="str">
        <f aca="false">'Monthly P&amp;L'!D3</f>
        <v>Sep-26</v>
      </c>
      <c r="E54" s="11" t="str">
        <f aca="false">'Monthly P&amp;L'!E3</f>
        <v>Oct-26</v>
      </c>
      <c r="F54" s="11" t="str">
        <f aca="false">'Monthly P&amp;L'!F3</f>
        <v>Nov-26</v>
      </c>
      <c r="G54" s="11" t="str">
        <f aca="false">'Monthly P&amp;L'!G3</f>
        <v>Dec-26</v>
      </c>
      <c r="H54" s="11" t="str">
        <f aca="false">'Monthly P&amp;L'!H3</f>
        <v>Jan-27</v>
      </c>
      <c r="I54" s="11" t="str">
        <f aca="false">'Monthly P&amp;L'!I3</f>
        <v>Feb-27</v>
      </c>
      <c r="J54" s="11" t="str">
        <f aca="false">'Monthly P&amp;L'!J3</f>
        <v>Mar-27</v>
      </c>
      <c r="K54" s="11" t="str">
        <f aca="false">'Monthly P&amp;L'!K3</f>
        <v>Apr-27</v>
      </c>
      <c r="L54" s="11" t="str">
        <f aca="false">'Monthly P&amp;L'!L3</f>
        <v>May-27</v>
      </c>
      <c r="M54" s="11" t="str">
        <f aca="false">'Monthly P&amp;L'!M3</f>
        <v>Jun-27</v>
      </c>
      <c r="N54" s="11" t="str">
        <f aca="false">'Monthly P&amp;L'!N3</f>
        <v>Jul-27</v>
      </c>
      <c r="O54" s="11" t="str">
        <f aca="false">'Monthly P&amp;L'!O3</f>
        <v>Aug-27</v>
      </c>
      <c r="P54" s="11" t="str">
        <f aca="false">'Monthly P&amp;L'!P3</f>
        <v>Sep-27</v>
      </c>
      <c r="Q54" s="11" t="str">
        <f aca="false">'Monthly P&amp;L'!Q3</f>
        <v>Oct-27</v>
      </c>
      <c r="R54" s="11" t="str">
        <f aca="false">'Monthly P&amp;L'!R3</f>
        <v>Nov-27</v>
      </c>
      <c r="S54" s="11" t="str">
        <f aca="false">'Monthly P&amp;L'!S3</f>
        <v>Dec-27</v>
      </c>
      <c r="T54" s="11" t="str">
        <f aca="false">'Monthly P&amp;L'!T3</f>
        <v>Jan-28</v>
      </c>
      <c r="U54" s="11" t="str">
        <f aca="false">'Monthly P&amp;L'!U3</f>
        <v>Feb-28</v>
      </c>
      <c r="V54" s="11" t="str">
        <f aca="false">'Monthly P&amp;L'!V3</f>
        <v>Mar-28</v>
      </c>
      <c r="W54" s="11" t="str">
        <f aca="false">'Monthly P&amp;L'!W3</f>
        <v>Apr-28</v>
      </c>
      <c r="X54" s="11" t="str">
        <f aca="false">'Monthly P&amp;L'!X3</f>
        <v>May-28</v>
      </c>
      <c r="Y54" s="12" t="str">
        <f aca="false">'Monthly P&amp;L'!Y3</f>
        <v>Jun-28</v>
      </c>
    </row>
    <row r="55" customFormat="false" ht="15" hidden="false" customHeight="false" outlineLevel="0" collapsed="false">
      <c r="A55" s="114" t="s">
        <v>189</v>
      </c>
      <c r="B55" s="115" t="n">
        <f aca="false">'Monthly P&amp;L'!B9*$E$5*$E$7+'Monthly P&amp;L'!B10*$E$6*$E$8-'Monthly P&amp;L'!B15*$E$9</f>
        <v>-49275.1730769231</v>
      </c>
      <c r="C55" s="115" t="n">
        <f aca="false">'Monthly P&amp;L'!C9*$E$5*$E$7+'Monthly P&amp;L'!C10*$E$6*$E$8-'Monthly P&amp;L'!C15*$E$9</f>
        <v>-42142.4615384615</v>
      </c>
      <c r="D55" s="115" t="n">
        <f aca="false">'Monthly P&amp;L'!D9*$E$5*$E$7+'Monthly P&amp;L'!D10*$E$6*$E$8-'Monthly P&amp;L'!D15*$E$9</f>
        <v>-34645.4230769231</v>
      </c>
      <c r="E55" s="115" t="n">
        <f aca="false">'Monthly P&amp;L'!E9*$E$5*$E$7+'Monthly P&amp;L'!E10*$E$6*$E$8-'Monthly P&amp;L'!E15*$E$9</f>
        <v>-26435.9230769231</v>
      </c>
      <c r="F55" s="115" t="n">
        <f aca="false">'Monthly P&amp;L'!F9*$E$5*$E$7+'Monthly P&amp;L'!F10*$E$6*$E$8-'Monthly P&amp;L'!F15*$E$9</f>
        <v>-19303.2115384615</v>
      </c>
      <c r="G55" s="115" t="n">
        <f aca="false">'Monthly P&amp;L'!G9*$E$5*$E$7+'Monthly P&amp;L'!G10*$E$6*$E$8-'Monthly P&amp;L'!G15*$E$9</f>
        <v>-8575.8076923077</v>
      </c>
      <c r="H55" s="115" t="n">
        <f aca="false">'Monthly P&amp;L'!H9*$E$5*$E$7+'Monthly P&amp;L'!H10*$E$6*$E$8-'Monthly P&amp;L'!H15*$E$9</f>
        <v>8728.36538461538</v>
      </c>
      <c r="I55" s="115" t="n">
        <f aca="false">'Monthly P&amp;L'!I9*$E$5*$E$7+'Monthly P&amp;L'!I10*$E$6*$E$8-'Monthly P&amp;L'!I15*$E$9</f>
        <v>36320.0576923077</v>
      </c>
      <c r="J55" s="115" t="n">
        <f aca="false">'Monthly P&amp;L'!J9*$E$5*$E$7+'Monthly P&amp;L'!J10*$E$6*$E$8-'Monthly P&amp;L'!J15*$E$9</f>
        <v>63199.2884615385</v>
      </c>
      <c r="K55" s="115" t="n">
        <f aca="false">'Monthly P&amp;L'!K9*$E$5*$E$7+'Monthly P&amp;L'!K10*$E$6*$E$8-'Monthly P&amp;L'!K15*$E$9</f>
        <v>96174.9230769231</v>
      </c>
      <c r="L55" s="115" t="n">
        <f aca="false">'Monthly P&amp;L'!L9*$E$5*$E$7+'Monthly P&amp;L'!L10*$E$6*$E$8-'Monthly P&amp;L'!L15*$E$9</f>
        <v>129150.557692308</v>
      </c>
      <c r="M55" s="115" t="n">
        <f aca="false">'Monthly P&amp;L'!M9*$E$5*$E$7+'Monthly P&amp;L'!M10*$E$6*$E$8-'Monthly P&amp;L'!M15*$E$9</f>
        <v>178642.346153846</v>
      </c>
      <c r="N55" s="115" t="n">
        <f aca="false">'Monthly P&amp;L'!N9*$E$5*$E$7+'Monthly P&amp;L'!N10*$E$6*$E$8-'Monthly P&amp;L'!N15*$E$9</f>
        <v>229923.384615385</v>
      </c>
      <c r="O55" s="115" t="n">
        <f aca="false">'Monthly P&amp;L'!O9*$E$5*$E$7+'Monthly P&amp;L'!O10*$E$6*$E$8-'Monthly P&amp;L'!O15*$E$9</f>
        <v>277261.596153846</v>
      </c>
      <c r="P55" s="115" t="n">
        <f aca="false">'Monthly P&amp;L'!P9*$E$5*$E$7+'Monthly P&amp;L'!P10*$E$6*$E$8-'Monthly P&amp;L'!P15*$E$9</f>
        <v>324235.480769231</v>
      </c>
      <c r="Q55" s="115" t="n">
        <f aca="false">'Monthly P&amp;L'!Q9*$E$5*$E$7+'Monthly P&amp;L'!Q10*$E$6*$E$8-'Monthly P&amp;L'!Q15*$E$9</f>
        <v>371209.365384615</v>
      </c>
      <c r="R55" s="115" t="n">
        <f aca="false">'Monthly P&amp;L'!R9*$E$5*$E$7+'Monthly P&amp;L'!R10*$E$6*$E$8-'Monthly P&amp;L'!R15*$E$9</f>
        <v>411010.057692308</v>
      </c>
      <c r="S55" s="115" t="n">
        <f aca="false">'Monthly P&amp;L'!S9*$E$5*$E$7+'Monthly P&amp;L'!S10*$E$6*$E$8-'Monthly P&amp;L'!S15*$E$9</f>
        <v>445062.480769231</v>
      </c>
      <c r="T55" s="115" t="n">
        <f aca="false">'Monthly P&amp;L'!T9*$E$5*$E$7+'Monthly P&amp;L'!T10*$E$6*$E$8-'Monthly P&amp;L'!T15*$E$9</f>
        <v>465116.653846154</v>
      </c>
      <c r="U55" s="115" t="n">
        <f aca="false">'Monthly P&amp;L'!U9*$E$5*$E$7+'Monthly P&amp;L'!U10*$E$6*$E$8-'Monthly P&amp;L'!U15*$E$9</f>
        <v>476920.846153846</v>
      </c>
      <c r="V55" s="115" t="n">
        <f aca="false">'Monthly P&amp;L'!V9*$E$5*$E$7+'Monthly P&amp;L'!V10*$E$6*$E$8-'Monthly P&amp;L'!V15*$E$9</f>
        <v>489437.5</v>
      </c>
      <c r="W55" s="115" t="n">
        <f aca="false">'Monthly P&amp;L'!W9*$E$5*$E$7+'Monthly P&amp;L'!W10*$E$6*$E$8-'Monthly P&amp;L'!W15*$E$9</f>
        <v>500877.365384615</v>
      </c>
      <c r="X55" s="115" t="n">
        <f aca="false">'Monthly P&amp;L'!X9*$E$5*$E$7+'Monthly P&amp;L'!X10*$E$6*$E$8-'Monthly P&amp;L'!X15*$E$9</f>
        <v>512681.557692308</v>
      </c>
      <c r="Y55" s="115" t="n">
        <f aca="false">'Monthly P&amp;L'!Y9*$E$5*$E$7+'Monthly P&amp;L'!Y10*$E$6*$E$8-'Monthly P&amp;L'!Y15*$E$9</f>
        <v>515507.115384615</v>
      </c>
    </row>
    <row r="56" customFormat="false" ht="15" hidden="false" customHeight="false" outlineLevel="0" collapsed="false">
      <c r="A56" s="116" t="s">
        <v>340</v>
      </c>
      <c r="B56" s="117" t="n">
        <f aca="false">'Monthly P&amp;L'!B9*$E$5-IF(COLUMN()-COLUMN($B$56)&lt;$E$10,0,INDEX('Monthly P&amp;L'!$B$9:$Y$9,1,COLUMN()-COLUMN($B$56)+1-$E$10)*$E$5)</f>
        <v>8500.96153846154</v>
      </c>
      <c r="C56" s="117" t="n">
        <f aca="false">'Monthly P&amp;L'!C9*$E$5-IF(COLUMN()-COLUMN($B$56)&lt;$E$10,0,INDEX('Monthly P&amp;L'!$B$9:$Y$9,1,COLUMN()-COLUMN($B$56)+1-$E$10)*$E$5)</f>
        <v>22669.2307692308</v>
      </c>
      <c r="D56" s="117" t="n">
        <f aca="false">'Monthly P&amp;L'!D9*$E$5-IF(COLUMN()-COLUMN($B$56)&lt;$E$10,0,INDEX('Monthly P&amp;L'!$B$9:$Y$9,1,COLUMN()-COLUMN($B$56)+1-$E$10)*$E$5)</f>
        <v>28336.5384615385</v>
      </c>
      <c r="E56" s="117" t="n">
        <f aca="false">'Monthly P&amp;L'!E9*$E$5-IF(COLUMN()-COLUMN($B$56)&lt;$E$10,0,INDEX('Monthly P&amp;L'!$B$9:$Y$9,1,COLUMN()-COLUMN($B$56)+1-$E$10)*$E$5)</f>
        <v>31170.1923076923</v>
      </c>
      <c r="F56" s="117" t="n">
        <f aca="false">'Monthly P&amp;L'!F9*$E$5-IF(COLUMN()-COLUMN($B$56)&lt;$E$10,0,INDEX('Monthly P&amp;L'!$B$9:$Y$9,1,COLUMN()-COLUMN($B$56)+1-$E$10)*$E$5)</f>
        <v>31170.1923076923</v>
      </c>
      <c r="G56" s="117" t="n">
        <f aca="false">'Monthly P&amp;L'!G9*$E$5-IF(COLUMN()-COLUMN($B$56)&lt;$E$10,0,INDEX('Monthly P&amp;L'!$B$9:$Y$9,1,COLUMN()-COLUMN($B$56)+1-$E$10)*$E$5)</f>
        <v>36837.5</v>
      </c>
      <c r="H56" s="117" t="n">
        <f aca="false">'Monthly P&amp;L'!H9*$E$5-IF(COLUMN()-COLUMN($B$56)&lt;$E$10,0,INDEX('Monthly P&amp;L'!$B$9:$Y$9,1,COLUMN()-COLUMN($B$56)+1-$E$10)*$E$5)</f>
        <v>70841.3461538462</v>
      </c>
      <c r="I56" s="117" t="n">
        <f aca="false">'Monthly P&amp;L'!I9*$E$5-IF(COLUMN()-COLUMN($B$56)&lt;$E$10,0,INDEX('Monthly P&amp;L'!$B$9:$Y$9,1,COLUMN()-COLUMN($B$56)+1-$E$10)*$E$5)</f>
        <v>116179.807692308</v>
      </c>
      <c r="J56" s="117" t="n">
        <f aca="false">'Monthly P&amp;L'!J9*$E$5-IF(COLUMN()-COLUMN($B$56)&lt;$E$10,0,INDEX('Monthly P&amp;L'!$B$9:$Y$9,1,COLUMN()-COLUMN($B$56)+1-$E$10)*$E$5)</f>
        <v>133181.730769231</v>
      </c>
      <c r="K56" s="117" t="n">
        <f aca="false">'Monthly P&amp;L'!K9*$E$5-IF(COLUMN()-COLUMN($B$56)&lt;$E$10,0,INDEX('Monthly P&amp;L'!$B$9:$Y$9,1,COLUMN()-COLUMN($B$56)+1-$E$10)*$E$5)</f>
        <v>147350</v>
      </c>
      <c r="L56" s="117" t="n">
        <f aca="false">'Monthly P&amp;L'!L9*$E$5-IF(COLUMN()-COLUMN($B$56)&lt;$E$10,0,INDEX('Monthly P&amp;L'!$B$9:$Y$9,1,COLUMN()-COLUMN($B$56)+1-$E$10)*$E$5)</f>
        <v>164351.923076923</v>
      </c>
      <c r="M56" s="117" t="n">
        <f aca="false">'Monthly P&amp;L'!M9*$E$5-IF(COLUMN()-COLUMN($B$56)&lt;$E$10,0,INDEX('Monthly P&amp;L'!$B$9:$Y$9,1,COLUMN()-COLUMN($B$56)+1-$E$10)*$E$5)</f>
        <v>206856.730769231</v>
      </c>
      <c r="N56" s="117" t="n">
        <f aca="false">'Monthly P&amp;L'!N9*$E$5-IF(COLUMN()-COLUMN($B$56)&lt;$E$10,0,INDEX('Monthly P&amp;L'!$B$9:$Y$9,1,COLUMN()-COLUMN($B$56)+1-$E$10)*$E$5)</f>
        <v>255028.846153846</v>
      </c>
      <c r="O56" s="117" t="n">
        <f aca="false">'Monthly P&amp;L'!O9*$E$5-IF(COLUMN()-COLUMN($B$56)&lt;$E$10,0,INDEX('Monthly P&amp;L'!$B$9:$Y$9,1,COLUMN()-COLUMN($B$56)+1-$E$10)*$E$5)</f>
        <v>249361.538461539</v>
      </c>
      <c r="P56" s="117" t="n">
        <f aca="false">'Monthly P&amp;L'!P9*$E$5-IF(COLUMN()-COLUMN($B$56)&lt;$E$10,0,INDEX('Monthly P&amp;L'!$B$9:$Y$9,1,COLUMN()-COLUMN($B$56)+1-$E$10)*$E$5)</f>
        <v>238026.923076923</v>
      </c>
      <c r="Q56" s="117" t="n">
        <f aca="false">'Monthly P&amp;L'!Q9*$E$5-IF(COLUMN()-COLUMN($B$56)&lt;$E$10,0,INDEX('Monthly P&amp;L'!$B$9:$Y$9,1,COLUMN()-COLUMN($B$56)+1-$E$10)*$E$5)</f>
        <v>238026.923076923</v>
      </c>
      <c r="R56" s="117" t="n">
        <f aca="false">'Monthly P&amp;L'!R9*$E$5-IF(COLUMN()-COLUMN($B$56)&lt;$E$10,0,INDEX('Monthly P&amp;L'!$B$9:$Y$9,1,COLUMN()-COLUMN($B$56)+1-$E$10)*$E$5)</f>
        <v>218191.346153846</v>
      </c>
      <c r="S56" s="117" t="n">
        <f aca="false">'Monthly P&amp;L'!S9*$E$5-IF(COLUMN()-COLUMN($B$56)&lt;$E$10,0,INDEX('Monthly P&amp;L'!$B$9:$Y$9,1,COLUMN()-COLUMN($B$56)+1-$E$10)*$E$5)</f>
        <v>184187.5</v>
      </c>
      <c r="T56" s="117" t="n">
        <f aca="false">'Monthly P&amp;L'!T9*$E$5-IF(COLUMN()-COLUMN($B$56)&lt;$E$10,0,INDEX('Monthly P&amp;L'!$B$9:$Y$9,1,COLUMN()-COLUMN($B$56)+1-$E$10)*$E$5)</f>
        <v>133181.730769231</v>
      </c>
      <c r="U56" s="117" t="n">
        <f aca="false">'Monthly P&amp;L'!U9*$E$5-IF(COLUMN()-COLUMN($B$56)&lt;$E$10,0,INDEX('Monthly P&amp;L'!$B$9:$Y$9,1,COLUMN()-COLUMN($B$56)+1-$E$10)*$E$5)</f>
        <v>73675</v>
      </c>
      <c r="V56" s="117" t="n">
        <f aca="false">'Monthly P&amp;L'!V9*$E$5-IF(COLUMN()-COLUMN($B$56)&lt;$E$10,0,INDEX('Monthly P&amp;L'!$B$9:$Y$9,1,COLUMN()-COLUMN($B$56)+1-$E$10)*$E$5)</f>
        <v>53839.4230769232</v>
      </c>
      <c r="W56" s="117" t="n">
        <f aca="false">'Monthly P&amp;L'!W9*$E$5-IF(COLUMN()-COLUMN($B$56)&lt;$E$10,0,INDEX('Monthly P&amp;L'!$B$9:$Y$9,1,COLUMN()-COLUMN($B$56)+1-$E$10)*$E$5)</f>
        <v>53839.423076923</v>
      </c>
      <c r="X56" s="117" t="n">
        <f aca="false">'Monthly P&amp;L'!X9*$E$5-IF(COLUMN()-COLUMN($B$56)&lt;$E$10,0,INDEX('Monthly P&amp;L'!$B$9:$Y$9,1,COLUMN()-COLUMN($B$56)+1-$E$10)*$E$5)</f>
        <v>51005.769230769</v>
      </c>
      <c r="Y56" s="117" t="n">
        <f aca="false">'Monthly P&amp;L'!Y9*$E$5-IF(COLUMN()-COLUMN($B$56)&lt;$E$10,0,INDEX('Monthly P&amp;L'!$B$9:$Y$9,1,COLUMN()-COLUMN($B$56)+1-$E$10)*$E$5)</f>
        <v>28336.5384615385</v>
      </c>
    </row>
    <row r="57" customFormat="false" ht="15" hidden="false" customHeight="false" outlineLevel="0" collapsed="false">
      <c r="A57" s="116" t="s">
        <v>341</v>
      </c>
      <c r="B57" s="117" t="n">
        <f aca="false">'Monthly P&amp;L'!B10*$E$6-IF(COLUMN()-COLUMN($B$57)&lt;$E$11,0,INDEX('Monthly P&amp;L'!$B$10:$Y$10,1,COLUMN()-COLUMN($B$57)+1-$E$11)*$E$6)</f>
        <v>17487.6923076923</v>
      </c>
      <c r="C57" s="117" t="n">
        <f aca="false">'Monthly P&amp;L'!C10*$E$6-IF(COLUMN()-COLUMN($B$57)&lt;$E$11,0,INDEX('Monthly P&amp;L'!$B$10:$Y$10,1,COLUMN()-COLUMN($B$57)+1-$E$11)*$E$6)</f>
        <v>3886.15384615384</v>
      </c>
      <c r="D57" s="117" t="n">
        <f aca="false">'Monthly P&amp;L'!D10*$E$6-IF(COLUMN()-COLUMN($B$57)&lt;$E$11,0,INDEX('Monthly P&amp;L'!$B$10:$Y$10,1,COLUMN()-COLUMN($B$57)+1-$E$11)*$E$6)</f>
        <v>4695.76923076923</v>
      </c>
      <c r="E57" s="117" t="n">
        <f aca="false">'Monthly P&amp;L'!E10*$E$6-IF(COLUMN()-COLUMN($B$57)&lt;$E$11,0,INDEX('Monthly P&amp;L'!$B$10:$Y$10,1,COLUMN()-COLUMN($B$57)+1-$E$11)*$E$6)</f>
        <v>3886.15384615385</v>
      </c>
      <c r="F57" s="117" t="n">
        <f aca="false">'Monthly P&amp;L'!F10*$E$6-IF(COLUMN()-COLUMN($B$57)&lt;$E$11,0,INDEX('Monthly P&amp;L'!$B$10:$Y$10,1,COLUMN()-COLUMN($B$57)+1-$E$11)*$E$6)</f>
        <v>3886.15384615384</v>
      </c>
      <c r="G57" s="117" t="n">
        <f aca="false">'Monthly P&amp;L'!G10*$E$6-IF(COLUMN()-COLUMN($B$57)&lt;$E$11,0,INDEX('Monthly P&amp;L'!$B$10:$Y$10,1,COLUMN()-COLUMN($B$57)+1-$E$11)*$E$6)</f>
        <v>4695.76923076923</v>
      </c>
      <c r="H57" s="117" t="n">
        <f aca="false">'Monthly P&amp;L'!H10*$E$6-IF(COLUMN()-COLUMN($B$57)&lt;$E$11,0,INDEX('Monthly P&amp;L'!$B$10:$Y$10,1,COLUMN()-COLUMN($B$57)+1-$E$11)*$E$6)</f>
        <v>3886.15384615384</v>
      </c>
      <c r="I57" s="117" t="n">
        <f aca="false">'Monthly P&amp;L'!I10*$E$6-IF(COLUMN()-COLUMN($B$57)&lt;$E$11,0,INDEX('Monthly P&amp;L'!$B$10:$Y$10,1,COLUMN()-COLUMN($B$57)+1-$E$11)*$E$6)</f>
        <v>3886.15384615386</v>
      </c>
      <c r="J57" s="117" t="n">
        <f aca="false">'Monthly P&amp;L'!J10*$E$6-IF(COLUMN()-COLUMN($B$57)&lt;$E$11,0,INDEX('Monthly P&amp;L'!$B$10:$Y$10,1,COLUMN()-COLUMN($B$57)+1-$E$11)*$E$6)</f>
        <v>4695.76923076923</v>
      </c>
      <c r="K57" s="117" t="n">
        <f aca="false">'Monthly P&amp;L'!K10*$E$6-IF(COLUMN()-COLUMN($B$57)&lt;$E$11,0,INDEX('Monthly P&amp;L'!$B$10:$Y$10,1,COLUMN()-COLUMN($B$57)+1-$E$11)*$E$6)</f>
        <v>3886.15384615384</v>
      </c>
      <c r="L57" s="117" t="n">
        <f aca="false">'Monthly P&amp;L'!L10*$E$6-IF(COLUMN()-COLUMN($B$57)&lt;$E$11,0,INDEX('Monthly P&amp;L'!$B$10:$Y$10,1,COLUMN()-COLUMN($B$57)+1-$E$11)*$E$6)</f>
        <v>3886.15384615385</v>
      </c>
      <c r="M57" s="117" t="n">
        <f aca="false">'Monthly P&amp;L'!M10*$E$6-IF(COLUMN()-COLUMN($B$57)&lt;$E$11,0,INDEX('Monthly P&amp;L'!$B$10:$Y$10,1,COLUMN()-COLUMN($B$57)+1-$E$11)*$E$6)</f>
        <v>4695.76923076922</v>
      </c>
      <c r="N57" s="117" t="n">
        <f aca="false">'Monthly P&amp;L'!N10*$E$6-IF(COLUMN()-COLUMN($B$57)&lt;$E$11,0,INDEX('Monthly P&amp;L'!$B$10:$Y$10,1,COLUMN()-COLUMN($B$57)+1-$E$11)*$E$6)</f>
        <v>3886.15384615386</v>
      </c>
      <c r="O57" s="117" t="n">
        <f aca="false">'Monthly P&amp;L'!O10*$E$6-IF(COLUMN()-COLUMN($B$57)&lt;$E$11,0,INDEX('Monthly P&amp;L'!$B$10:$Y$10,1,COLUMN()-COLUMN($B$57)+1-$E$11)*$E$6)</f>
        <v>4695.76923076923</v>
      </c>
      <c r="P57" s="117" t="n">
        <f aca="false">'Monthly P&amp;L'!P10*$E$6-IF(COLUMN()-COLUMN($B$57)&lt;$E$11,0,INDEX('Monthly P&amp;L'!$B$10:$Y$10,1,COLUMN()-COLUMN($B$57)+1-$E$11)*$E$6)</f>
        <v>3886.15384615383</v>
      </c>
      <c r="Q57" s="117" t="n">
        <f aca="false">'Monthly P&amp;L'!Q10*$E$6-IF(COLUMN()-COLUMN($B$57)&lt;$E$11,0,INDEX('Monthly P&amp;L'!$B$10:$Y$10,1,COLUMN()-COLUMN($B$57)+1-$E$11)*$E$6)</f>
        <v>3886.15384615384</v>
      </c>
      <c r="R57" s="117" t="n">
        <f aca="false">'Monthly P&amp;L'!R10*$E$6-IF(COLUMN()-COLUMN($B$57)&lt;$E$11,0,INDEX('Monthly P&amp;L'!$B$10:$Y$10,1,COLUMN()-COLUMN($B$57)+1-$E$11)*$E$6)</f>
        <v>4695.76923076923</v>
      </c>
      <c r="S57" s="117" t="n">
        <f aca="false">'Monthly P&amp;L'!S10*$E$6-IF(COLUMN()-COLUMN($B$57)&lt;$E$11,0,INDEX('Monthly P&amp;L'!$B$10:$Y$10,1,COLUMN()-COLUMN($B$57)+1-$E$11)*$E$6)</f>
        <v>3886.15384615386</v>
      </c>
      <c r="T57" s="117" t="n">
        <f aca="false">'Monthly P&amp;L'!T10*$E$6-IF(COLUMN()-COLUMN($B$57)&lt;$E$11,0,INDEX('Monthly P&amp;L'!$B$10:$Y$10,1,COLUMN()-COLUMN($B$57)+1-$E$11)*$E$6)</f>
        <v>3886.15384615384</v>
      </c>
      <c r="U57" s="117" t="n">
        <f aca="false">'Monthly P&amp;L'!U10*$E$6-IF(COLUMN()-COLUMN($B$57)&lt;$E$11,0,INDEX('Monthly P&amp;L'!$B$10:$Y$10,1,COLUMN()-COLUMN($B$57)+1-$E$11)*$E$6)</f>
        <v>4695.76923076922</v>
      </c>
      <c r="V57" s="117" t="n">
        <f aca="false">'Monthly P&amp;L'!V10*$E$6-IF(COLUMN()-COLUMN($B$57)&lt;$E$11,0,INDEX('Monthly P&amp;L'!$B$10:$Y$10,1,COLUMN()-COLUMN($B$57)+1-$E$11)*$E$6)</f>
        <v>3886.15384615384</v>
      </c>
      <c r="W57" s="117" t="n">
        <f aca="false">'Monthly P&amp;L'!W10*$E$6-IF(COLUMN()-COLUMN($B$57)&lt;$E$11,0,INDEX('Monthly P&amp;L'!$B$10:$Y$10,1,COLUMN()-COLUMN($B$57)+1-$E$11)*$E$6)</f>
        <v>3886.15384615386</v>
      </c>
      <c r="X57" s="117" t="n">
        <f aca="false">'Monthly P&amp;L'!X10*$E$6-IF(COLUMN()-COLUMN($B$57)&lt;$E$11,0,INDEX('Monthly P&amp;L'!$B$10:$Y$10,1,COLUMN()-COLUMN($B$57)+1-$E$11)*$E$6)</f>
        <v>4695.76923076923</v>
      </c>
      <c r="Y57" s="117" t="n">
        <f aca="false">'Monthly P&amp;L'!Y10*$E$6-IF(COLUMN()-COLUMN($B$57)&lt;$E$11,0,INDEX('Monthly P&amp;L'!$B$10:$Y$10,1,COLUMN()-COLUMN($B$57)+1-$E$11)*$E$6)</f>
        <v>3886.15384615384</v>
      </c>
    </row>
    <row r="58" customFormat="false" ht="15" hidden="false" customHeight="false" outlineLevel="0" collapsed="false">
      <c r="A58" s="116" t="s">
        <v>309</v>
      </c>
      <c r="B58" s="117" t="n">
        <f aca="false">Assumptions!$B$5+B55-B56-B57-Assumptions!$B$31-Assumptions!$B$32/12</f>
        <v>895569.506410257</v>
      </c>
      <c r="C58" s="117" t="n">
        <f aca="false">B58+C55-C56-C57-Assumptions!$B$32/12</f>
        <v>822704.993589744</v>
      </c>
      <c r="D58" s="117" t="n">
        <f aca="false">C58+D55-D56-D57-Assumptions!$B$32/12</f>
        <v>750860.596153846</v>
      </c>
      <c r="E58" s="117" t="n">
        <f aca="false">D58+E55-E56-E57-Assumptions!$B$32/12</f>
        <v>685201.66025641</v>
      </c>
      <c r="F58" s="117" t="n">
        <f aca="false">E58+F55-F56-F57-Assumptions!$B$32/12</f>
        <v>626675.435897436</v>
      </c>
      <c r="G58" s="117" t="n">
        <f aca="false">F58+G55-G56-G57-Assumptions!$B$32/12</f>
        <v>572399.692307693</v>
      </c>
      <c r="H58" s="117" t="n">
        <f aca="false">G58+H55-H56-H57-Assumptions!$B$32/12</f>
        <v>502233.891025641</v>
      </c>
      <c r="I58" s="117" t="n">
        <f aca="false">H58+I55-I56-I57-Assumptions!$B$32/12</f>
        <v>414321.320512821</v>
      </c>
      <c r="J58" s="117" t="n">
        <f aca="false">I58+J55-J56-J57-Assumptions!$B$32/12</f>
        <v>335476.442307692</v>
      </c>
      <c r="K58" s="117" t="n">
        <f aca="false">J58+K55-K56-K57-Assumptions!$B$32/12</f>
        <v>276248.544871795</v>
      </c>
      <c r="L58" s="117" t="n">
        <f aca="false">K58+L55-L56-L57-Assumptions!$B$32/12</f>
        <v>232994.358974359</v>
      </c>
      <c r="M58" s="117" t="n">
        <f aca="false">L58+M55-M56-M57-Assumptions!$B$32/12</f>
        <v>195917.538461539</v>
      </c>
      <c r="N58" s="117" t="n">
        <f aca="false">M58+N55-N56-N57</f>
        <v>166925.923076923</v>
      </c>
      <c r="O58" s="117" t="n">
        <f aca="false">N58+O55-O56-O57</f>
        <v>190130.211538462</v>
      </c>
      <c r="P58" s="117" t="n">
        <f aca="false">O58+P55-P56-P57</f>
        <v>272452.615384615</v>
      </c>
      <c r="Q58" s="117" t="n">
        <f aca="false">P58+Q55-Q56-Q57</f>
        <v>401748.903846154</v>
      </c>
      <c r="R58" s="117" t="n">
        <f aca="false">Q58+R55-R56-R57</f>
        <v>589871.846153846</v>
      </c>
      <c r="S58" s="117" t="n">
        <f aca="false">R58+S55-S56-S57</f>
        <v>846860.673076923</v>
      </c>
      <c r="T58" s="117" t="n">
        <f aca="false">S58+T55-T56-T57</f>
        <v>1174909.44230769</v>
      </c>
      <c r="U58" s="117" t="n">
        <f aca="false">T58+U55-U56-U57</f>
        <v>1573459.51923077</v>
      </c>
      <c r="V58" s="117" t="n">
        <f aca="false">U58+V55-V56-V57</f>
        <v>2005171.44230769</v>
      </c>
      <c r="W58" s="117" t="n">
        <f aca="false">V58+W55-W56-W57</f>
        <v>2448323.23076923</v>
      </c>
      <c r="X58" s="117" t="n">
        <f aca="false">W58+X55-X56-X57</f>
        <v>2905303.25</v>
      </c>
      <c r="Y58" s="117" t="n">
        <f aca="false">X58+Y55-Y56-Y57</f>
        <v>3388587.67307692</v>
      </c>
    </row>
    <row r="59" customFormat="false" ht="15" hidden="false" customHeight="false" outlineLevel="0" collapsed="false">
      <c r="A59" s="118" t="s">
        <v>342</v>
      </c>
      <c r="B59" s="119" t="n">
        <f aca="false">IF(B55&gt;=0,1,999)</f>
        <v>999</v>
      </c>
      <c r="C59" s="119" t="n">
        <f aca="false">IF(C55&gt;=0,2,999)</f>
        <v>999</v>
      </c>
      <c r="D59" s="119" t="n">
        <f aca="false">IF(D55&gt;=0,3,999)</f>
        <v>999</v>
      </c>
      <c r="E59" s="119" t="n">
        <f aca="false">IF(E55&gt;=0,4,999)</f>
        <v>999</v>
      </c>
      <c r="F59" s="119" t="n">
        <f aca="false">IF(F55&gt;=0,5,999)</f>
        <v>999</v>
      </c>
      <c r="G59" s="119" t="n">
        <f aca="false">IF(G55&gt;=0,6,999)</f>
        <v>999</v>
      </c>
      <c r="H59" s="119" t="n">
        <f aca="false">IF(H55&gt;=0,7,999)</f>
        <v>7</v>
      </c>
      <c r="I59" s="119" t="n">
        <f aca="false">IF(I55&gt;=0,8,999)</f>
        <v>8</v>
      </c>
      <c r="J59" s="119" t="n">
        <f aca="false">IF(J55&gt;=0,9,999)</f>
        <v>9</v>
      </c>
      <c r="K59" s="119" t="n">
        <f aca="false">IF(K55&gt;=0,10,999)</f>
        <v>10</v>
      </c>
      <c r="L59" s="119" t="n">
        <f aca="false">IF(L55&gt;=0,11,999)</f>
        <v>11</v>
      </c>
      <c r="M59" s="119" t="n">
        <f aca="false">IF(M55&gt;=0,12,999)</f>
        <v>12</v>
      </c>
      <c r="N59" s="119" t="n">
        <f aca="false">IF(N55&gt;=0,13,999)</f>
        <v>13</v>
      </c>
      <c r="O59" s="119" t="n">
        <f aca="false">IF(O55&gt;=0,14,999)</f>
        <v>14</v>
      </c>
      <c r="P59" s="119" t="n">
        <f aca="false">IF(P55&gt;=0,15,999)</f>
        <v>15</v>
      </c>
      <c r="Q59" s="119" t="n">
        <f aca="false">IF(Q55&gt;=0,16,999)</f>
        <v>16</v>
      </c>
      <c r="R59" s="119" t="n">
        <f aca="false">IF(R55&gt;=0,17,999)</f>
        <v>17</v>
      </c>
      <c r="S59" s="119" t="n">
        <f aca="false">IF(S55&gt;=0,18,999)</f>
        <v>18</v>
      </c>
      <c r="T59" s="119" t="n">
        <f aca="false">IF(T55&gt;=0,19,999)</f>
        <v>19</v>
      </c>
      <c r="U59" s="119" t="n">
        <f aca="false">IF(U55&gt;=0,20,999)</f>
        <v>20</v>
      </c>
      <c r="V59" s="119" t="n">
        <f aca="false">IF(V55&gt;=0,21,999)</f>
        <v>21</v>
      </c>
      <c r="W59" s="119" t="n">
        <f aca="false">IF(W55&gt;=0,22,999)</f>
        <v>22</v>
      </c>
      <c r="X59" s="119" t="n">
        <f aca="false">IF(X55&gt;=0,23,999)</f>
        <v>23</v>
      </c>
      <c r="Y59" s="119" t="n">
        <f aca="false">IF(Y55&gt;=0,24,999)</f>
        <v>24</v>
      </c>
    </row>
  </sheetData>
  <mergeCells count="6">
    <mergeCell ref="A1:E1"/>
    <mergeCell ref="A2:E2"/>
    <mergeCell ref="A29:Y29"/>
    <mergeCell ref="A37:Y37"/>
    <mergeCell ref="A45:Y45"/>
    <mergeCell ref="A53:Y53"/>
  </mergeCells>
  <conditionalFormatting sqref="B26:E26">
    <cfRule type="containsText" priority="2" operator="containsText" aboveAverage="0" equalAverage="0" bottom="0" percent="0" rank="0" text="OK" dxfId="4">
      <formula>NOT(ISERROR(SEARCH("OK",B26)))</formula>
    </cfRule>
    <cfRule type="containsText" priority="3" operator="containsText" aboveAverage="0" equalAverage="0" bottom="0" percent="0" rank="0" text="OPEN" dxfId="5">
      <formula>NOT(ISERROR(SEARCH("OPEN",B26)))</formula>
    </cfRule>
    <cfRule type="containsText" priority="4" operator="containsText" aboveAverage="0" equalAverage="0" bottom="0" percent="0" rank="0" text="REVIEW" dxfId="6">
      <formula>NOT(ISERROR(SEARCH("REVIEW",B26)))</formula>
    </cfRule>
    <cfRule type="containsText" priority="5" operator="containsText" aboveAverage="0" equalAverage="0" bottom="0" percent="0" rank="0" text="BELOW" dxfId="7">
      <formula>NOT(ISERROR(SEARCH("BELOW",B26)))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7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5" min="2" style="0" width="12"/>
  </cols>
  <sheetData>
    <row r="1" customFormat="false" ht="30" hidden="false" customHeight="true" outlineLevel="0" collapsed="false">
      <c r="A1" s="87" t="s">
        <v>346</v>
      </c>
      <c r="B1" s="87" t="s">
        <v>346</v>
      </c>
      <c r="C1" s="87" t="s">
        <v>346</v>
      </c>
      <c r="D1" s="87" t="s">
        <v>346</v>
      </c>
      <c r="E1" s="87" t="s">
        <v>346</v>
      </c>
    </row>
    <row r="2" customFormat="false" ht="55.2" hidden="false" customHeight="true" outlineLevel="0" collapsed="false">
      <c r="A2" s="88" t="s">
        <v>347</v>
      </c>
      <c r="B2" s="88"/>
      <c r="C2" s="88"/>
      <c r="D2" s="88"/>
      <c r="E2" s="88"/>
    </row>
    <row r="4" customFormat="false" ht="15" hidden="false" customHeight="false" outlineLevel="0" collapsed="false">
      <c r="A4" s="10" t="s">
        <v>321</v>
      </c>
      <c r="B4" s="11" t="s">
        <v>322</v>
      </c>
      <c r="C4" s="11" t="s">
        <v>204</v>
      </c>
      <c r="D4" s="11" t="s">
        <v>205</v>
      </c>
      <c r="E4" s="12" t="s">
        <v>348</v>
      </c>
    </row>
    <row r="5" customFormat="false" ht="15" hidden="false" customHeight="false" outlineLevel="0" collapsed="false">
      <c r="A5" s="100" t="s">
        <v>349</v>
      </c>
      <c r="B5" s="106" t="n">
        <v>0.25</v>
      </c>
      <c r="C5" s="106" t="n">
        <v>0.6</v>
      </c>
      <c r="D5" s="106" t="n">
        <v>1</v>
      </c>
      <c r="E5" s="106" t="n">
        <v>1.83673469387755</v>
      </c>
    </row>
    <row r="6" customFormat="false" ht="15" hidden="false" customHeight="false" outlineLevel="0" collapsed="false">
      <c r="A6" s="95" t="s">
        <v>325</v>
      </c>
      <c r="B6" s="107" t="n">
        <v>0.5</v>
      </c>
      <c r="C6" s="107" t="n">
        <v>0.75</v>
      </c>
      <c r="D6" s="107" t="n">
        <v>1</v>
      </c>
      <c r="E6" s="107" t="n">
        <v>1.83673469387755</v>
      </c>
    </row>
    <row r="7" customFormat="false" ht="15" hidden="false" customHeight="false" outlineLevel="0" collapsed="false">
      <c r="A7" s="95" t="s">
        <v>350</v>
      </c>
      <c r="B7" s="107" t="n">
        <v>0</v>
      </c>
      <c r="C7" s="107" t="n">
        <v>0</v>
      </c>
      <c r="D7" s="107" t="n">
        <v>0</v>
      </c>
      <c r="E7" s="107" t="n">
        <v>0.1</v>
      </c>
    </row>
    <row r="8" customFormat="false" ht="15" hidden="false" customHeight="false" outlineLevel="0" collapsed="false">
      <c r="A8" s="95" t="s">
        <v>351</v>
      </c>
      <c r="B8" s="107" t="n">
        <v>2</v>
      </c>
      <c r="C8" s="107" t="n">
        <v>1.25</v>
      </c>
      <c r="D8" s="107" t="n">
        <v>1</v>
      </c>
      <c r="E8" s="107" t="n">
        <v>1</v>
      </c>
    </row>
    <row r="9" customFormat="false" ht="15" hidden="false" customHeight="false" outlineLevel="0" collapsed="false">
      <c r="A9" s="95" t="s">
        <v>352</v>
      </c>
      <c r="B9" s="107" t="n">
        <v>0.92</v>
      </c>
      <c r="C9" s="107" t="n">
        <v>1.05</v>
      </c>
      <c r="D9" s="107" t="n">
        <v>1</v>
      </c>
      <c r="E9" s="107" t="n">
        <v>1</v>
      </c>
    </row>
    <row r="10" customFormat="false" ht="15" hidden="false" customHeight="false" outlineLevel="0" collapsed="false">
      <c r="A10" s="95" t="s">
        <v>353</v>
      </c>
      <c r="B10" s="108" t="n">
        <v>32</v>
      </c>
      <c r="C10" s="108" t="n">
        <v>32</v>
      </c>
      <c r="D10" s="108" t="n">
        <v>32</v>
      </c>
      <c r="E10" s="108" t="n">
        <v>50</v>
      </c>
    </row>
    <row r="11" customFormat="false" ht="15" hidden="false" customHeight="false" outlineLevel="0" collapsed="false">
      <c r="A11" s="95" t="s">
        <v>87</v>
      </c>
      <c r="B11" s="108" t="n">
        <v>3</v>
      </c>
      <c r="C11" s="108" t="n">
        <v>2</v>
      </c>
      <c r="D11" s="108" t="n">
        <v>1</v>
      </c>
      <c r="E11" s="108" t="n">
        <v>1</v>
      </c>
    </row>
    <row r="12" customFormat="false" ht="15" hidden="false" customHeight="false" outlineLevel="0" collapsed="false">
      <c r="A12" s="105" t="s">
        <v>89</v>
      </c>
      <c r="B12" s="109" t="n">
        <v>2</v>
      </c>
      <c r="C12" s="109" t="n">
        <v>1</v>
      </c>
      <c r="D12" s="109" t="n">
        <v>1</v>
      </c>
      <c r="E12" s="109" t="n">
        <v>1</v>
      </c>
    </row>
    <row r="13" customFormat="false" ht="15" hidden="false" customHeight="false" outlineLevel="0" collapsed="false">
      <c r="A13" s="120" t="s">
        <v>79</v>
      </c>
      <c r="B13" s="121" t="n">
        <f aca="false">Assumptions!$B$22</f>
        <v>0.45</v>
      </c>
      <c r="C13" s="121" t="n">
        <f aca="false">Assumptions!$B$22</f>
        <v>0.45</v>
      </c>
      <c r="D13" s="121" t="n">
        <f aca="false">Assumptions!$B$22</f>
        <v>0.45</v>
      </c>
      <c r="E13" s="122" t="n">
        <v>0.88</v>
      </c>
    </row>
    <row r="14" customFormat="false" ht="15" hidden="false" customHeight="false" outlineLevel="0" collapsed="false">
      <c r="A14" s="10" t="s">
        <v>327</v>
      </c>
      <c r="B14" s="11" t="s">
        <v>322</v>
      </c>
      <c r="C14" s="11" t="s">
        <v>204</v>
      </c>
      <c r="D14" s="11" t="s">
        <v>205</v>
      </c>
      <c r="E14" s="12" t="s">
        <v>348</v>
      </c>
    </row>
    <row r="15" customFormat="false" ht="15" hidden="false" customHeight="false" outlineLevel="0" collapsed="false">
      <c r="A15" s="100" t="s">
        <v>354</v>
      </c>
      <c r="B15" s="123" t="n">
        <f aca="false">'Monthly P&amp;L'!$AB$5*B$5</f>
        <v>1426.25</v>
      </c>
      <c r="C15" s="123" t="n">
        <f aca="false">'Monthly P&amp;L'!$AB$5*C$5</f>
        <v>3423</v>
      </c>
      <c r="D15" s="123" t="n">
        <f aca="false">'Monthly P&amp;L'!$AB$5*D$5</f>
        <v>5705</v>
      </c>
      <c r="E15" s="123" t="n">
        <f aca="false">'Monthly P&amp;L'!$AB$5*E$5</f>
        <v>10478.5714285714</v>
      </c>
    </row>
    <row r="16" customFormat="false" ht="15" hidden="false" customHeight="false" outlineLevel="0" collapsed="false">
      <c r="A16" s="95" t="s">
        <v>355</v>
      </c>
      <c r="B16" s="102" t="n">
        <f aca="false">B15*((1-B$7)*Assumptions!$B$47+B$7*(Assumptions!$B$55*Assumptions!$B$15))/Assumptions!$B$10</f>
        <v>2399939.90384615</v>
      </c>
      <c r="C16" s="102" t="n">
        <f aca="false">C15*((1-C$7)*Assumptions!$B$47+C$7*(Assumptions!$B$55*Assumptions!$B$15))/Assumptions!$B$10</f>
        <v>5759855.76923077</v>
      </c>
      <c r="D16" s="102" t="n">
        <f aca="false">D15*((1-D$7)*Assumptions!$B$47+D$7*(Assumptions!$B$55*Assumptions!$B$15))/Assumptions!$B$10</f>
        <v>9599759.61538462</v>
      </c>
      <c r="E16" s="102" t="n">
        <f aca="false">E15*((1-E$7)*Assumptions!$B$47+E$7*(Assumptions!$B$55*Assumptions!$B$15))/Assumptions!$B$10</f>
        <v>20705254.1208791</v>
      </c>
    </row>
    <row r="17" customFormat="false" ht="15" hidden="false" customHeight="false" outlineLevel="0" collapsed="false">
      <c r="A17" s="95" t="s">
        <v>356</v>
      </c>
      <c r="B17" s="102" t="n">
        <f aca="false">'Monthly P&amp;L'!$AB$10*B$6</f>
        <v>466153.846153846</v>
      </c>
      <c r="C17" s="102" t="n">
        <f aca="false">'Monthly P&amp;L'!$AB$10*C$6</f>
        <v>699230.769230769</v>
      </c>
      <c r="D17" s="102" t="n">
        <f aca="false">'Monthly P&amp;L'!$AB$10*D$6</f>
        <v>932307.692307692</v>
      </c>
      <c r="E17" s="102" t="n">
        <f aca="false">'Monthly P&amp;L'!$AB$10*E$6</f>
        <v>1712401.88383046</v>
      </c>
    </row>
    <row r="18" customFormat="false" ht="15" hidden="false" customHeight="false" outlineLevel="0" collapsed="false">
      <c r="A18" s="95" t="s">
        <v>357</v>
      </c>
      <c r="B18" s="102" t="n">
        <f aca="false">B16+B17</f>
        <v>2866093.75</v>
      </c>
      <c r="C18" s="102" t="n">
        <f aca="false">C16+C17</f>
        <v>6459086.53846154</v>
      </c>
      <c r="D18" s="102" t="n">
        <f aca="false">D16+D17</f>
        <v>10532067.3076923</v>
      </c>
      <c r="E18" s="102" t="n">
        <f aca="false">E16+E17</f>
        <v>22417656.0047096</v>
      </c>
    </row>
    <row r="19" customFormat="false" ht="15" hidden="false" customHeight="false" outlineLevel="0" collapsed="false">
      <c r="A19" s="95" t="s">
        <v>358</v>
      </c>
      <c r="B19" s="102" t="n">
        <f aca="false">B15*((1-B$7)*(Assumptions!$B$47-Assumptions!$B$43*B$8-Assumptions!$B$44-Assumptions!$B$45)+B$7*Assumptions!$B$57)/Assumptions!$B$10+B17*B$13</f>
        <v>1215458.33333334</v>
      </c>
      <c r="C19" s="102" t="n">
        <f aca="false">C15*((1-C$7)*(Assumptions!$B$47-Assumptions!$B$43*C$8-Assumptions!$B$44-Assumptions!$B$45)+C$7*Assumptions!$B$57)/Assumptions!$B$10+C17*C$13</f>
        <v>3222009.61538464</v>
      </c>
      <c r="D19" s="102" t="n">
        <f aca="false">D15*((1-D$7)*(Assumptions!$B$47-Assumptions!$B$43*D$8-Assumptions!$B$44-Assumptions!$B$45)+D$7*Assumptions!$B$57)/Assumptions!$B$10+D17*D$13</f>
        <v>5539410.25641029</v>
      </c>
      <c r="E19" s="102" t="n">
        <f aca="false">E15*((1-E$7)*(Assumptions!$B$47-Assumptions!$B$43*E$8-Assumptions!$B$44-Assumptions!$B$45)+E$7*Assumptions!$B$57)/Assumptions!$B$10+E17*E$13</f>
        <v>13799083.9874412</v>
      </c>
    </row>
    <row r="20" customFormat="false" ht="15" hidden="false" customHeight="false" outlineLevel="0" collapsed="false">
      <c r="A20" s="95" t="s">
        <v>330</v>
      </c>
      <c r="B20" s="102" t="n">
        <f aca="false">'Monthly P&amp;L'!$AB$15*B$9</f>
        <v>1102896</v>
      </c>
      <c r="C20" s="102" t="n">
        <f aca="false">'Monthly P&amp;L'!$AB$15*C$9</f>
        <v>1258740</v>
      </c>
      <c r="D20" s="102" t="n">
        <f aca="false">'Monthly P&amp;L'!$AB$15*D$9</f>
        <v>1198800</v>
      </c>
      <c r="E20" s="102" t="n">
        <f aca="false">'Monthly P&amp;L'!$AB$15*E$9</f>
        <v>1198800</v>
      </c>
    </row>
    <row r="21" customFormat="false" ht="15" hidden="false" customHeight="false" outlineLevel="0" collapsed="false">
      <c r="A21" s="95" t="s">
        <v>331</v>
      </c>
      <c r="B21" s="102" t="n">
        <f aca="false">B19-B20</f>
        <v>112562.333333342</v>
      </c>
      <c r="C21" s="102" t="n">
        <f aca="false">C19-C20</f>
        <v>1963269.61538464</v>
      </c>
      <c r="D21" s="102" t="n">
        <f aca="false">D19-D20</f>
        <v>4340610.25641029</v>
      </c>
      <c r="E21" s="102" t="n">
        <f aca="false">E19-E20</f>
        <v>12600283.9874412</v>
      </c>
    </row>
    <row r="22" customFormat="false" ht="15" hidden="false" customHeight="false" outlineLevel="0" collapsed="false">
      <c r="A22" s="95" t="s">
        <v>209</v>
      </c>
      <c r="B22" s="110" t="n">
        <f aca="false">IFERROR(B21/B18,0)</f>
        <v>0.0392737792800191</v>
      </c>
      <c r="C22" s="110" t="n">
        <f aca="false">IFERROR(C21/C18,0)</f>
        <v>0.303954685185602</v>
      </c>
      <c r="D22" s="110" t="n">
        <f aca="false">IFERROR(D21/D18,0)</f>
        <v>0.412132787381642</v>
      </c>
      <c r="E22" s="110" t="n">
        <f aca="false">IFERROR(E21/E18,0)</f>
        <v>0.562069646567602</v>
      </c>
    </row>
    <row r="23" customFormat="false" ht="15" hidden="false" customHeight="false" outlineLevel="0" collapsed="false">
      <c r="A23" s="95" t="s">
        <v>20</v>
      </c>
      <c r="B23" s="102" t="n">
        <f aca="false">('Monthly P&amp;L'!$Y$5*B$5*((1-B$7)*Assumptions!$B$47+B$7*(Assumptions!$B$55*Assumptions!$B$15))/Assumptions!$B$10+'Monthly P&amp;L'!$Y$10*B$6)*12</f>
        <v>2877403.84615385</v>
      </c>
      <c r="C23" s="102" t="n">
        <f aca="false">('Monthly P&amp;L'!$Y$5*C$5*((1-C$7)*Assumptions!$B$47+C$7*(Assumptions!$B$55*Assumptions!$B$15))/Assumptions!$B$10+'Monthly P&amp;L'!$Y$10*C$6)*12</f>
        <v>6542307.69230769</v>
      </c>
      <c r="D23" s="102" t="n">
        <f aca="false">('Monthly P&amp;L'!$Y$5*D$5*((1-D$7)*Assumptions!$B$47+D$7*(Assumptions!$B$55*Assumptions!$B$15))/Assumptions!$B$10+'Monthly P&amp;L'!$Y$10*D$6)*12</f>
        <v>10701923.0769231</v>
      </c>
      <c r="E23" s="102" t="n">
        <f aca="false">('Monthly P&amp;L'!$Y$5*E$5*((1-E$7)*Assumptions!$B$47+E$7*(Assumptions!$B$55*Assumptions!$B$15))/Assumptions!$B$10+'Monthly P&amp;L'!$Y$10*E$6)*12</f>
        <v>22823901.0989011</v>
      </c>
    </row>
    <row r="24" customFormat="false" ht="15" hidden="false" customHeight="false" outlineLevel="0" collapsed="false">
      <c r="A24" s="95" t="s">
        <v>332</v>
      </c>
      <c r="B24" s="111" t="n">
        <f aca="false">'Monthly P&amp;L'!$Y$5*B$5</f>
        <v>122.5</v>
      </c>
      <c r="C24" s="111" t="n">
        <f aca="false">'Monthly P&amp;L'!$Y$5*C$5</f>
        <v>294</v>
      </c>
      <c r="D24" s="111" t="n">
        <f aca="false">'Monthly P&amp;L'!$Y$5*D$5</f>
        <v>490</v>
      </c>
      <c r="E24" s="111" t="n">
        <f aca="false">'Monthly P&amp;L'!$Y$5*E$5</f>
        <v>900</v>
      </c>
    </row>
    <row r="25" customFormat="false" ht="15" hidden="false" customHeight="false" outlineLevel="0" collapsed="false">
      <c r="A25" s="95" t="s">
        <v>353</v>
      </c>
      <c r="B25" s="111" t="n">
        <f aca="false">B$10</f>
        <v>32</v>
      </c>
      <c r="C25" s="111" t="n">
        <f aca="false">C$10</f>
        <v>32</v>
      </c>
      <c r="D25" s="111" t="n">
        <f aca="false">D$10</f>
        <v>32</v>
      </c>
      <c r="E25" s="111" t="n">
        <f aca="false">E$10</f>
        <v>50</v>
      </c>
    </row>
    <row r="26" customFormat="false" ht="15" hidden="false" customHeight="false" outlineLevel="0" collapsed="false">
      <c r="A26" s="95" t="s">
        <v>333</v>
      </c>
      <c r="B26" s="111" t="n">
        <f aca="false">IFERROR(B24/B25,0)</f>
        <v>3.828125</v>
      </c>
      <c r="C26" s="111" t="n">
        <f aca="false">IFERROR(C24/C25,0)</f>
        <v>9.1875</v>
      </c>
      <c r="D26" s="111" t="n">
        <f aca="false">IFERROR(D24/D25,0)</f>
        <v>15.3125</v>
      </c>
      <c r="E26" s="111" t="n">
        <f aca="false">IFERROR(E24/E25,0)</f>
        <v>18</v>
      </c>
    </row>
    <row r="27" customFormat="false" ht="15" hidden="false" customHeight="false" outlineLevel="0" collapsed="false">
      <c r="A27" s="95" t="s">
        <v>334</v>
      </c>
      <c r="B27" s="110" t="n">
        <f aca="false">IFERROR(B24/(B25*Assumptions!$B$50),0)</f>
        <v>0.19140625</v>
      </c>
      <c r="C27" s="110" t="n">
        <f aca="false">IFERROR(C24/(C25*Assumptions!$B$50),0)</f>
        <v>0.459375</v>
      </c>
      <c r="D27" s="110" t="n">
        <f aca="false">IFERROR(D24/(D25*Assumptions!$B$50),0)</f>
        <v>0.765625</v>
      </c>
      <c r="E27" s="110" t="n">
        <f aca="false">IFERROR(E24/(E25*Assumptions!$B$50),0)</f>
        <v>0.9</v>
      </c>
    </row>
    <row r="28" customFormat="false" ht="15" hidden="false" customHeight="false" outlineLevel="0" collapsed="false">
      <c r="A28" s="95" t="s">
        <v>335</v>
      </c>
      <c r="B28" s="102" t="n">
        <f aca="false">MIN(B40:Y40)</f>
        <v>172255.826923082</v>
      </c>
      <c r="C28" s="102" t="n">
        <f aca="false">MIN(B51:Y51)</f>
        <v>412797.019230773</v>
      </c>
      <c r="D28" s="102" t="n">
        <f aca="false">MIN(B62:Y62)</f>
        <v>667272.115384618</v>
      </c>
      <c r="E28" s="102" t="n">
        <f aca="false">MIN(B73:Y73)</f>
        <v>847226.543694402</v>
      </c>
    </row>
    <row r="29" customFormat="false" ht="15" hidden="false" customHeight="false" outlineLevel="0" collapsed="false">
      <c r="A29" s="95" t="s">
        <v>336</v>
      </c>
      <c r="B29" s="102" t="n">
        <f aca="false">Y40</f>
        <v>357646.467948727</v>
      </c>
      <c r="C29" s="102" t="n">
        <f aca="false">Y51</f>
        <v>1849375.38461541</v>
      </c>
      <c r="D29" s="102" t="n">
        <f aca="false">Y62</f>
        <v>4373783.33333337</v>
      </c>
      <c r="E29" s="102" t="n">
        <f aca="false">Y73</f>
        <v>11623292.2291994</v>
      </c>
    </row>
    <row r="30" customFormat="false" ht="15" hidden="false" customHeight="false" outlineLevel="0" collapsed="false">
      <c r="A30" s="95" t="s">
        <v>337</v>
      </c>
      <c r="B30" s="95" t="str">
        <f aca="false">IF(MIN(B41:Y41)=999,"None","M"&amp;MIN(B41:Y41))</f>
        <v>M13</v>
      </c>
      <c r="C30" s="95" t="str">
        <f aca="false">IF(MIN(B52:Y52)=999,"None","M"&amp;MIN(B52:Y52))</f>
        <v>M9</v>
      </c>
      <c r="D30" s="95" t="str">
        <f aca="false">IF(MIN(B63:Y63)=999,"None","M"&amp;MIN(B63:Y63))</f>
        <v>M7</v>
      </c>
      <c r="E30" s="95" t="str">
        <f aca="false">IF(MIN(B74:Y74)=999,"None","M"&amp;MIN(B74:Y74))</f>
        <v>M3</v>
      </c>
    </row>
    <row r="31" customFormat="false" ht="34" hidden="false" customHeight="true" outlineLevel="0" collapsed="false">
      <c r="A31" s="105" t="s">
        <v>359</v>
      </c>
      <c r="B31" s="112" t="str">
        <f aca="false">IF(B28&lt;0,"OPEN: CASH NEGATIVE",IF(B27&gt;1,"REVIEW: CAPACITY OVERLOAD",IF(B28&lt;Assumptions!$B$33,"REVIEW: BELOW BUFFER","OK")))</f>
        <v>OK</v>
      </c>
      <c r="C31" s="112" t="str">
        <f aca="false">IF(C28&lt;0,"OPEN: CASH NEGATIVE",IF(C27&gt;1,"REVIEW: CAPACITY OVERLOAD",IF(C28&lt;Assumptions!$B$33,"REVIEW: BELOW BUFFER","OK")))</f>
        <v>OK</v>
      </c>
      <c r="D31" s="112" t="str">
        <f aca="false">IF(D28&lt;0,"OPEN: CASH NEGATIVE",IF(D27&gt;1,"REVIEW: CAPACITY OVERLOAD",IF(D28&lt;Assumptions!$B$33,"REVIEW: BELOW BUFFER","OK")))</f>
        <v>OK</v>
      </c>
      <c r="E31" s="112" t="str">
        <f aca="false">IF(E28&lt;0,"OPEN: CASH NEGATIVE",IF(E27&gt;1,"REVIEW: CAPACITY OVERLOAD",IF(E28&lt;Assumptions!$B$33,"REVIEW: BELOW BUFFER","OK")))</f>
        <v>OK</v>
      </c>
    </row>
    <row r="33" customFormat="false" ht="15" hidden="false" customHeight="false" outlineLevel="0" collapsed="false">
      <c r="A33" s="113" t="s">
        <v>339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</row>
    <row r="34" customFormat="false" ht="15" hidden="false" customHeight="false" outlineLevel="0" collapsed="false">
      <c r="A34" s="10" t="s">
        <v>150</v>
      </c>
      <c r="B34" s="11" t="str">
        <f aca="false">'Monthly P&amp;L'!B3</f>
        <v>Jul-26</v>
      </c>
      <c r="C34" s="11" t="str">
        <f aca="false">'Monthly P&amp;L'!C3</f>
        <v>Aug-26</v>
      </c>
      <c r="D34" s="11" t="str">
        <f aca="false">'Monthly P&amp;L'!D3</f>
        <v>Sep-26</v>
      </c>
      <c r="E34" s="11" t="str">
        <f aca="false">'Monthly P&amp;L'!E3</f>
        <v>Oct-26</v>
      </c>
      <c r="F34" s="11" t="str">
        <f aca="false">'Monthly P&amp;L'!F3</f>
        <v>Nov-26</v>
      </c>
      <c r="G34" s="11" t="str">
        <f aca="false">'Monthly P&amp;L'!G3</f>
        <v>Dec-26</v>
      </c>
      <c r="H34" s="11" t="str">
        <f aca="false">'Monthly P&amp;L'!H3</f>
        <v>Jan-27</v>
      </c>
      <c r="I34" s="11" t="str">
        <f aca="false">'Monthly P&amp;L'!I3</f>
        <v>Feb-27</v>
      </c>
      <c r="J34" s="11" t="str">
        <f aca="false">'Monthly P&amp;L'!J3</f>
        <v>Mar-27</v>
      </c>
      <c r="K34" s="11" t="str">
        <f aca="false">'Monthly P&amp;L'!K3</f>
        <v>Apr-27</v>
      </c>
      <c r="L34" s="11" t="str">
        <f aca="false">'Monthly P&amp;L'!L3</f>
        <v>May-27</v>
      </c>
      <c r="M34" s="11" t="str">
        <f aca="false">'Monthly P&amp;L'!M3</f>
        <v>Jun-27</v>
      </c>
      <c r="N34" s="11" t="str">
        <f aca="false">'Monthly P&amp;L'!N3</f>
        <v>Jul-27</v>
      </c>
      <c r="O34" s="11" t="str">
        <f aca="false">'Monthly P&amp;L'!O3</f>
        <v>Aug-27</v>
      </c>
      <c r="P34" s="11" t="str">
        <f aca="false">'Monthly P&amp;L'!P3</f>
        <v>Sep-27</v>
      </c>
      <c r="Q34" s="11" t="str">
        <f aca="false">'Monthly P&amp;L'!Q3</f>
        <v>Oct-27</v>
      </c>
      <c r="R34" s="11" t="str">
        <f aca="false">'Monthly P&amp;L'!R3</f>
        <v>Nov-27</v>
      </c>
      <c r="S34" s="11" t="str">
        <f aca="false">'Monthly P&amp;L'!S3</f>
        <v>Dec-27</v>
      </c>
      <c r="T34" s="11" t="str">
        <f aca="false">'Monthly P&amp;L'!T3</f>
        <v>Jan-28</v>
      </c>
      <c r="U34" s="11" t="str">
        <f aca="false">'Monthly P&amp;L'!U3</f>
        <v>Feb-28</v>
      </c>
      <c r="V34" s="11" t="str">
        <f aca="false">'Monthly P&amp;L'!V3</f>
        <v>Mar-28</v>
      </c>
      <c r="W34" s="11" t="str">
        <f aca="false">'Monthly P&amp;L'!W3</f>
        <v>Apr-28</v>
      </c>
      <c r="X34" s="11" t="str">
        <f aca="false">'Monthly P&amp;L'!X3</f>
        <v>May-28</v>
      </c>
      <c r="Y34" s="12" t="str">
        <f aca="false">'Monthly P&amp;L'!Y3</f>
        <v>Jun-28</v>
      </c>
    </row>
    <row r="35" customFormat="false" ht="15" hidden="false" customHeight="false" outlineLevel="0" collapsed="false">
      <c r="A35" s="114" t="s">
        <v>182</v>
      </c>
      <c r="B35" s="115" t="n">
        <f aca="false">'Monthly P&amp;L'!B5*$B$5*((1-$B$7)*Assumptions!$B$47+$B$7*(Assumptions!$B$55*Assumptions!$B$15))/Assumptions!$B$10</f>
        <v>1262.01923076923</v>
      </c>
      <c r="C35" s="115" t="n">
        <f aca="false">'Monthly P&amp;L'!C5*$B$5*((1-$B$7)*Assumptions!$B$47+$B$7*(Assumptions!$B$55*Assumptions!$B$15))/Assumptions!$B$10</f>
        <v>3365.38461538462</v>
      </c>
      <c r="D35" s="115" t="n">
        <f aca="false">'Monthly P&amp;L'!D5*$B$5*((1-$B$7)*Assumptions!$B$47+$B$7*(Assumptions!$B$55*Assumptions!$B$15))/Assumptions!$B$10</f>
        <v>5468.75</v>
      </c>
      <c r="E35" s="115" t="n">
        <f aca="false">'Monthly P&amp;L'!E5*$B$5*((1-$B$7)*Assumptions!$B$47+$B$7*(Assumptions!$B$55*Assumptions!$B$15))/Assumptions!$B$10</f>
        <v>7992.78846153846</v>
      </c>
      <c r="F35" s="115" t="n">
        <f aca="false">'Monthly P&amp;L'!F5*$B$5*((1-$B$7)*Assumptions!$B$47+$B$7*(Assumptions!$B$55*Assumptions!$B$15))/Assumptions!$B$10</f>
        <v>10096.1538461538</v>
      </c>
      <c r="G35" s="115" t="n">
        <f aca="false">'Monthly P&amp;L'!G5*$B$5*((1-$B$7)*Assumptions!$B$47+$B$7*(Assumptions!$B$55*Assumptions!$B$15))/Assumptions!$B$10</f>
        <v>13461.5384615385</v>
      </c>
      <c r="H35" s="115" t="n">
        <f aca="false">'Monthly P&amp;L'!H5*$B$5*((1-$B$7)*Assumptions!$B$47+$B$7*(Assumptions!$B$55*Assumptions!$B$15))/Assumptions!$B$10</f>
        <v>20612.9807692308</v>
      </c>
      <c r="I35" s="115" t="n">
        <f aca="false">'Monthly P&amp;L'!I5*$B$5*((1-$B$7)*Assumptions!$B$47+$B$7*(Assumptions!$B$55*Assumptions!$B$15))/Assumptions!$B$10</f>
        <v>30709.1346153846</v>
      </c>
      <c r="J35" s="115" t="n">
        <f aca="false">'Monthly P&amp;L'!J5*$B$5*((1-$B$7)*Assumptions!$B$47+$B$7*(Assumptions!$B$55*Assumptions!$B$15))/Assumptions!$B$10</f>
        <v>40384.6153846154</v>
      </c>
      <c r="K35" s="115" t="n">
        <f aca="false">'Monthly P&amp;L'!K5*$B$5*((1-$B$7)*Assumptions!$B$47+$B$7*(Assumptions!$B$55*Assumptions!$B$15))/Assumptions!$B$10</f>
        <v>52584.1346153846</v>
      </c>
      <c r="L35" s="115" t="n">
        <f aca="false">'Monthly P&amp;L'!L5*$B$5*((1-$B$7)*Assumptions!$B$47+$B$7*(Assumptions!$B$55*Assumptions!$B$15))/Assumptions!$B$10</f>
        <v>64783.6538461538</v>
      </c>
      <c r="M35" s="115" t="n">
        <f aca="false">'Monthly P&amp;L'!M5*$B$5*((1-$B$7)*Assumptions!$B$47+$B$7*(Assumptions!$B$55*Assumptions!$B$15))/Assumptions!$B$10</f>
        <v>83293.2692307692</v>
      </c>
      <c r="N35" s="115" t="n">
        <f aca="false">'Monthly P&amp;L'!N5*$B$5*((1-$B$7)*Assumptions!$B$47+$B$7*(Assumptions!$B$55*Assumptions!$B$15))/Assumptions!$B$10</f>
        <v>102644.230769231</v>
      </c>
      <c r="O35" s="115" t="n">
        <f aca="false">'Monthly P&amp;L'!O5*$B$5*((1-$B$7)*Assumptions!$B$47+$B$7*(Assumptions!$B$55*Assumptions!$B$15))/Assumptions!$B$10</f>
        <v>120312.5</v>
      </c>
      <c r="P35" s="115" t="n">
        <f aca="false">'Monthly P&amp;L'!P5*$B$5*((1-$B$7)*Assumptions!$B$47+$B$7*(Assumptions!$B$55*Assumptions!$B$15))/Assumptions!$B$10</f>
        <v>137980.769230769</v>
      </c>
      <c r="Q35" s="115" t="n">
        <f aca="false">'Monthly P&amp;L'!Q5*$B$5*((1-$B$7)*Assumptions!$B$47+$B$7*(Assumptions!$B$55*Assumptions!$B$15))/Assumptions!$B$10</f>
        <v>155649.038461538</v>
      </c>
      <c r="R35" s="115" t="n">
        <f aca="false">'Monthly P&amp;L'!R5*$B$5*((1-$B$7)*Assumptions!$B$47+$B$7*(Assumptions!$B$55*Assumptions!$B$15))/Assumptions!$B$10</f>
        <v>170372.596153846</v>
      </c>
      <c r="S35" s="115" t="n">
        <f aca="false">'Monthly P&amp;L'!S5*$B$5*((1-$B$7)*Assumptions!$B$47+$B$7*(Assumptions!$B$55*Assumptions!$B$15))/Assumptions!$B$10</f>
        <v>182992.788461538</v>
      </c>
      <c r="T35" s="115" t="n">
        <f aca="false">'Monthly P&amp;L'!T5*$B$5*((1-$B$7)*Assumptions!$B$47+$B$7*(Assumptions!$B$55*Assumptions!$B$15))/Assumptions!$B$10</f>
        <v>190144.230769231</v>
      </c>
      <c r="U35" s="115" t="n">
        <f aca="false">'Monthly P&amp;L'!U5*$B$5*((1-$B$7)*Assumptions!$B$47+$B$7*(Assumptions!$B$55*Assumptions!$B$15))/Assumptions!$B$10</f>
        <v>193930.288461538</v>
      </c>
      <c r="V35" s="115" t="n">
        <f aca="false">'Monthly P&amp;L'!V5*$B$5*((1-$B$7)*Assumptions!$B$47+$B$7*(Assumptions!$B$55*Assumptions!$B$15))/Assumptions!$B$10</f>
        <v>198137.019230769</v>
      </c>
      <c r="W35" s="115" t="n">
        <f aca="false">'Monthly P&amp;L'!W5*$B$5*((1-$B$7)*Assumptions!$B$47+$B$7*(Assumptions!$B$55*Assumptions!$B$15))/Assumptions!$B$10</f>
        <v>201923.076923077</v>
      </c>
      <c r="X35" s="115" t="n">
        <f aca="false">'Monthly P&amp;L'!X5*$B$5*((1-$B$7)*Assumptions!$B$47+$B$7*(Assumptions!$B$55*Assumptions!$B$15))/Assumptions!$B$10</f>
        <v>205709.134615385</v>
      </c>
      <c r="Y35" s="115" t="n">
        <f aca="false">'Monthly P&amp;L'!Y5*$B$5*((1-$B$7)*Assumptions!$B$47+$B$7*(Assumptions!$B$55*Assumptions!$B$15))/Assumptions!$B$10</f>
        <v>206129.807692308</v>
      </c>
    </row>
    <row r="36" customFormat="false" ht="15" hidden="false" customHeight="false" outlineLevel="0" collapsed="false">
      <c r="A36" s="116" t="s">
        <v>183</v>
      </c>
      <c r="B36" s="117" t="n">
        <f aca="false">'Monthly P&amp;L'!B10*$B$6</f>
        <v>5192.30769230769</v>
      </c>
      <c r="C36" s="117" t="n">
        <f aca="false">'Monthly P&amp;L'!C10*$B$6</f>
        <v>6346.15384615385</v>
      </c>
      <c r="D36" s="117" t="n">
        <f aca="false">'Monthly P&amp;L'!D10*$B$6</f>
        <v>7740.38461538462</v>
      </c>
      <c r="E36" s="117" t="n">
        <f aca="false">'Monthly P&amp;L'!E10*$B$6</f>
        <v>8894.23076923077</v>
      </c>
      <c r="F36" s="117" t="n">
        <f aca="false">'Monthly P&amp;L'!F10*$B$6</f>
        <v>10048.0769230769</v>
      </c>
      <c r="G36" s="117" t="n">
        <f aca="false">'Monthly P&amp;L'!G10*$B$6</f>
        <v>11442.3076923077</v>
      </c>
      <c r="H36" s="117" t="n">
        <f aca="false">'Monthly P&amp;L'!H10*$B$6</f>
        <v>12596.1538461538</v>
      </c>
      <c r="I36" s="117" t="n">
        <f aca="false">'Monthly P&amp;L'!I10*$B$6</f>
        <v>13750</v>
      </c>
      <c r="J36" s="117" t="n">
        <f aca="false">'Monthly P&amp;L'!J10*$B$6</f>
        <v>15144.2307692308</v>
      </c>
      <c r="K36" s="117" t="n">
        <f aca="false">'Monthly P&amp;L'!K10*$B$6</f>
        <v>16298.0769230769</v>
      </c>
      <c r="L36" s="117" t="n">
        <f aca="false">'Monthly P&amp;L'!L10*$B$6</f>
        <v>17451.9230769231</v>
      </c>
      <c r="M36" s="117" t="n">
        <f aca="false">'Monthly P&amp;L'!M10*$B$6</f>
        <v>18846.1538461538</v>
      </c>
      <c r="N36" s="117" t="n">
        <f aca="false">'Monthly P&amp;L'!N10*$B$6</f>
        <v>20000</v>
      </c>
      <c r="O36" s="117" t="n">
        <f aca="false">'Monthly P&amp;L'!O10*$B$6</f>
        <v>21394.2307692308</v>
      </c>
      <c r="P36" s="117" t="n">
        <f aca="false">'Monthly P&amp;L'!P10*$B$6</f>
        <v>22548.0769230769</v>
      </c>
      <c r="Q36" s="117" t="n">
        <f aca="false">'Monthly P&amp;L'!Q10*$B$6</f>
        <v>23701.9230769231</v>
      </c>
      <c r="R36" s="117" t="n">
        <f aca="false">'Monthly P&amp;L'!R10*$B$6</f>
        <v>25096.1538461538</v>
      </c>
      <c r="S36" s="117" t="n">
        <f aca="false">'Monthly P&amp;L'!S10*$B$6</f>
        <v>26250</v>
      </c>
      <c r="T36" s="117" t="n">
        <f aca="false">'Monthly P&amp;L'!T10*$B$6</f>
        <v>27403.8461538462</v>
      </c>
      <c r="U36" s="117" t="n">
        <f aca="false">'Monthly P&amp;L'!U10*$B$6</f>
        <v>28798.0769230769</v>
      </c>
      <c r="V36" s="117" t="n">
        <f aca="false">'Monthly P&amp;L'!V10*$B$6</f>
        <v>29951.9230769231</v>
      </c>
      <c r="W36" s="117" t="n">
        <f aca="false">'Monthly P&amp;L'!W10*$B$6</f>
        <v>31105.7692307692</v>
      </c>
      <c r="X36" s="117" t="n">
        <f aca="false">'Monthly P&amp;L'!X10*$B$6</f>
        <v>32500</v>
      </c>
      <c r="Y36" s="117" t="n">
        <f aca="false">'Monthly P&amp;L'!Y10*$B$6</f>
        <v>33653.8461538462</v>
      </c>
    </row>
    <row r="37" customFormat="false" ht="15" hidden="false" customHeight="false" outlineLevel="0" collapsed="false">
      <c r="A37" s="116" t="s">
        <v>189</v>
      </c>
      <c r="B37" s="117" t="n">
        <f aca="false">'Monthly P&amp;L'!B5*$B$5*((1-$B$7)*(Assumptions!$B$47-Assumptions!$B$43*$B$8-Assumptions!$B$44-Assumptions!$B$45)+$B$7*Assumptions!$B$57)/Assumptions!$B$10+B36*$B$13-'Monthly P&amp;L'!B15*$B$9</f>
        <v>-41570.6153846154</v>
      </c>
      <c r="C37" s="117" t="n">
        <f aca="false">'Monthly P&amp;L'!C5*$B$5*((1-$B$7)*(Assumptions!$B$47-Assumptions!$B$43*$B$8-Assumptions!$B$44-Assumptions!$B$45)+$B$7*Assumptions!$B$57)/Assumptions!$B$10+C36*$B$13-'Monthly P&amp;L'!C15*$B$9</f>
        <v>-40169.9743589743</v>
      </c>
      <c r="D37" s="117" t="n">
        <f aca="false">'Monthly P&amp;L'!D5*$B$5*((1-$B$7)*(Assumptions!$B$47-Assumptions!$B$43*$B$8-Assumptions!$B$44-Assumptions!$B$45)+$B$7*Assumptions!$B$57)/Assumptions!$B$10+D36*$B$13-'Monthly P&amp;L'!D15*$B$9</f>
        <v>-38661.1602564102</v>
      </c>
      <c r="E37" s="117" t="n">
        <f aca="false">'Monthly P&amp;L'!E5*$B$5*((1-$B$7)*(Assumptions!$B$47-Assumptions!$B$43*$B$8-Assumptions!$B$44-Assumptions!$B$45)+$B$7*Assumptions!$B$57)/Assumptions!$B$10+E36*$B$13-'Monthly P&amp;L'!E15*$B$9</f>
        <v>-37084.2371794872</v>
      </c>
      <c r="F37" s="117" t="n">
        <f aca="false">'Monthly P&amp;L'!F5*$B$5*((1-$B$7)*(Assumptions!$B$47-Assumptions!$B$43*$B$8-Assumptions!$B$44-Assumptions!$B$45)+$B$7*Assumptions!$B$57)/Assumptions!$B$10+F36*$B$13-'Monthly P&amp;L'!F15*$B$9</f>
        <v>-35683.5961538461</v>
      </c>
      <c r="G37" s="117" t="n">
        <f aca="false">'Monthly P&amp;L'!G5*$B$5*((1-$B$7)*(Assumptions!$B$47-Assumptions!$B$43*$B$8-Assumptions!$B$44-Assumptions!$B$45)+$B$7*Assumptions!$B$57)/Assumptions!$B$10+G36*$B$13-'Monthly P&amp;L'!G15*$B$9</f>
        <v>-33645.9358974359</v>
      </c>
      <c r="H37" s="117" t="n">
        <f aca="false">'Monthly P&amp;L'!H5*$B$5*((1-$B$7)*(Assumptions!$B$47-Assumptions!$B$43*$B$8-Assumptions!$B$44-Assumptions!$B$45)+$B$7*Assumptions!$B$57)/Assumptions!$B$10+H36*$B$13-'Monthly P&amp;L'!H15*$B$9</f>
        <v>-32153.9102564102</v>
      </c>
      <c r="I37" s="117" t="n">
        <f aca="false">'Monthly P&amp;L'!I5*$B$5*((1-$B$7)*(Assumptions!$B$47-Assumptions!$B$43*$B$8-Assumptions!$B$44-Assumptions!$B$45)+$B$7*Assumptions!$B$57)/Assumptions!$B$10+I36*$B$13-'Monthly P&amp;L'!I15*$B$9</f>
        <v>-27403.9102564101</v>
      </c>
      <c r="J37" s="117" t="n">
        <f aca="false">'Monthly P&amp;L'!J5*$B$5*((1-$B$7)*(Assumptions!$B$47-Assumptions!$B$43*$B$8-Assumptions!$B$44-Assumptions!$B$45)+$B$7*Assumptions!$B$57)/Assumptions!$B$10+J36*$B$13-'Monthly P&amp;L'!J15*$B$9</f>
        <v>-22722.0192307691</v>
      </c>
      <c r="K37" s="117" t="n">
        <f aca="false">'Monthly P&amp;L'!K5*$B$5*((1-$B$7)*(Assumptions!$B$47-Assumptions!$B$43*$B$8-Assumptions!$B$44-Assumptions!$B$45)+$B$7*Assumptions!$B$57)/Assumptions!$B$10+K36*$B$13-'Monthly P&amp;L'!K15*$B$9</f>
        <v>-17090.6089743588</v>
      </c>
      <c r="L37" s="117" t="n">
        <f aca="false">'Monthly P&amp;L'!L5*$B$5*((1-$B$7)*(Assumptions!$B$47-Assumptions!$B$43*$B$8-Assumptions!$B$44-Assumptions!$B$45)+$B$7*Assumptions!$B$57)/Assumptions!$B$10+L36*$B$13-'Monthly P&amp;L'!L15*$B$9</f>
        <v>-11459.1987179485</v>
      </c>
      <c r="M37" s="117" t="n">
        <f aca="false">'Monthly P&amp;L'!M5*$B$5*((1-$B$7)*(Assumptions!$B$47-Assumptions!$B$43*$B$8-Assumptions!$B$44-Assumptions!$B$45)+$B$7*Assumptions!$B$57)/Assumptions!$B$10+M36*$B$13-'Monthly P&amp;L'!M15*$B$9</f>
        <v>-3075.3846153843</v>
      </c>
      <c r="N37" s="117" t="n">
        <f aca="false">'Monthly P&amp;L'!N5*$B$5*((1-$B$7)*(Assumptions!$B$47-Assumptions!$B$43*$B$8-Assumptions!$B$44-Assumptions!$B$45)+$B$7*Assumptions!$B$57)/Assumptions!$B$10+N36*$B$13-'Monthly P&amp;L'!N15*$B$9</f>
        <v>5552.8205128209</v>
      </c>
      <c r="O37" s="117" t="n">
        <f aca="false">'Monthly P&amp;L'!O5*$B$5*((1-$B$7)*(Assumptions!$B$47-Assumptions!$B$43*$B$8-Assumptions!$B$44-Assumptions!$B$45)+$B$7*Assumptions!$B$57)/Assumptions!$B$10+O36*$B$13-'Monthly P&amp;L'!O15*$B$9</f>
        <v>13584.070512821</v>
      </c>
      <c r="P37" s="117" t="n">
        <f aca="false">'Monthly P&amp;L'!P5*$B$5*((1-$B$7)*(Assumptions!$B$47-Assumptions!$B$43*$B$8-Assumptions!$B$44-Assumptions!$B$45)+$B$7*Assumptions!$B$57)/Assumptions!$B$10+P36*$B$13-'Monthly P&amp;L'!P15*$B$9</f>
        <v>21507.1474358979</v>
      </c>
      <c r="Q37" s="117" t="n">
        <f aca="false">'Monthly P&amp;L'!Q5*$B$5*((1-$B$7)*(Assumptions!$B$47-Assumptions!$B$43*$B$8-Assumptions!$B$44-Assumptions!$B$45)+$B$7*Assumptions!$B$57)/Assumptions!$B$10+Q36*$B$13-'Monthly P&amp;L'!Q15*$B$9</f>
        <v>29430.2243589749</v>
      </c>
      <c r="R37" s="117" t="n">
        <f aca="false">'Monthly P&amp;L'!R5*$B$5*((1-$B$7)*(Assumptions!$B$47-Assumptions!$B$43*$B$8-Assumptions!$B$44-Assumptions!$B$45)+$B$7*Assumptions!$B$57)/Assumptions!$B$10+R36*$B$13-'Monthly P&amp;L'!R15*$B$9</f>
        <v>36227.5000000006</v>
      </c>
      <c r="S37" s="117" t="n">
        <f aca="false">'Monthly P&amp;L'!S5*$B$5*((1-$B$7)*(Assumptions!$B$47-Assumptions!$B$43*$B$8-Assumptions!$B$44-Assumptions!$B$45)+$B$7*Assumptions!$B$57)/Assumptions!$B$10+S36*$B$13-'Monthly P&amp;L'!S15*$B$9</f>
        <v>42035.192307693</v>
      </c>
      <c r="T37" s="117" t="n">
        <f aca="false">'Monthly P&amp;L'!T5*$B$5*((1-$B$7)*(Assumptions!$B$47-Assumptions!$B$43*$B$8-Assumptions!$B$44-Assumptions!$B$45)+$B$7*Assumptions!$B$57)/Assumptions!$B$10+T36*$B$13-'Monthly P&amp;L'!T15*$B$9</f>
        <v>45551.2179487187</v>
      </c>
      <c r="U37" s="117" t="n">
        <f aca="false">'Monthly P&amp;L'!U5*$B$5*((1-$B$7)*(Assumptions!$B$47-Assumptions!$B$43*$B$8-Assumptions!$B$44-Assumptions!$B$45)+$B$7*Assumptions!$B$57)/Assumptions!$B$10+U36*$B$13-'Monthly P&amp;L'!U15*$B$9</f>
        <v>47765.160256411</v>
      </c>
      <c r="V37" s="117" t="n">
        <f aca="false">'Monthly P&amp;L'!V5*$B$5*((1-$B$7)*(Assumptions!$B$47-Assumptions!$B$43*$B$8-Assumptions!$B$44-Assumptions!$B$45)+$B$7*Assumptions!$B$57)/Assumptions!$B$10+V36*$B$13-'Monthly P&amp;L'!V15*$B$9</f>
        <v>50047.2115384623</v>
      </c>
      <c r="W37" s="117" t="n">
        <f aca="false">'Monthly P&amp;L'!W5*$B$5*((1-$B$7)*(Assumptions!$B$47-Assumptions!$B$43*$B$8-Assumptions!$B$44-Assumptions!$B$45)+$B$7*Assumptions!$B$57)/Assumptions!$B$10+W36*$B$13-'Monthly P&amp;L'!W15*$B$9</f>
        <v>52152.9807692315</v>
      </c>
      <c r="X37" s="117" t="n">
        <f aca="false">'Monthly P&amp;L'!X5*$B$5*((1-$B$7)*(Assumptions!$B$47-Assumptions!$B$43*$B$8-Assumptions!$B$44-Assumptions!$B$45)+$B$7*Assumptions!$B$57)/Assumptions!$B$10+X36*$B$13-'Monthly P&amp;L'!X15*$B$9</f>
        <v>54366.9230769239</v>
      </c>
      <c r="Y37" s="117" t="n">
        <f aca="false">'Monthly P&amp;L'!Y5*$B$5*((1-$B$7)*(Assumptions!$B$47-Assumptions!$B$43*$B$8-Assumptions!$B$44-Assumptions!$B$45)+$B$7*Assumptions!$B$57)/Assumptions!$B$10+Y36*$B$13-'Monthly P&amp;L'!Y15*$B$9</f>
        <v>55062.4358974367</v>
      </c>
    </row>
    <row r="38" customFormat="false" ht="15" hidden="false" customHeight="false" outlineLevel="0" collapsed="false">
      <c r="A38" s="116" t="s">
        <v>340</v>
      </c>
      <c r="B38" s="117" t="n">
        <f aca="false">B35-IF(COLUMN()-COLUMN($B$38)&lt;$B$11,0,INDEX($B$35:$Y$35,1,COLUMN()-COLUMN($B$38)+1-$B$11))</f>
        <v>1262.01923076923</v>
      </c>
      <c r="C38" s="117" t="n">
        <f aca="false">C35-IF(COLUMN()-COLUMN($B$38)&lt;$B$11,0,INDEX($B$35:$Y$35,1,COLUMN()-COLUMN($B$38)+1-$B$11))</f>
        <v>3365.38461538462</v>
      </c>
      <c r="D38" s="117" t="n">
        <f aca="false">D35-IF(COLUMN()-COLUMN($B$38)&lt;$B$11,0,INDEX($B$35:$Y$35,1,COLUMN()-COLUMN($B$38)+1-$B$11))</f>
        <v>5468.75</v>
      </c>
      <c r="E38" s="117" t="n">
        <f aca="false">E35-IF(COLUMN()-COLUMN($B$38)&lt;$B$11,0,INDEX($B$35:$Y$35,1,COLUMN()-COLUMN($B$38)+1-$B$11))</f>
        <v>6730.76923076923</v>
      </c>
      <c r="F38" s="117" t="n">
        <f aca="false">F35-IF(COLUMN()-COLUMN($B$38)&lt;$B$11,0,INDEX($B$35:$Y$35,1,COLUMN()-COLUMN($B$38)+1-$B$11))</f>
        <v>6730.76923076923</v>
      </c>
      <c r="G38" s="117" t="n">
        <f aca="false">G35-IF(COLUMN()-COLUMN($B$38)&lt;$B$11,0,INDEX($B$35:$Y$35,1,COLUMN()-COLUMN($B$38)+1-$B$11))</f>
        <v>7992.78846153846</v>
      </c>
      <c r="H38" s="117" t="n">
        <f aca="false">H35-IF(COLUMN()-COLUMN($B$38)&lt;$B$11,0,INDEX($B$35:$Y$35,1,COLUMN()-COLUMN($B$38)+1-$B$11))</f>
        <v>12620.1923076923</v>
      </c>
      <c r="I38" s="117" t="n">
        <f aca="false">I35-IF(COLUMN()-COLUMN($B$38)&lt;$B$11,0,INDEX($B$35:$Y$35,1,COLUMN()-COLUMN($B$38)+1-$B$11))</f>
        <v>20612.9807692308</v>
      </c>
      <c r="J38" s="117" t="n">
        <f aca="false">J35-IF(COLUMN()-COLUMN($B$38)&lt;$B$11,0,INDEX($B$35:$Y$35,1,COLUMN()-COLUMN($B$38)+1-$B$11))</f>
        <v>26923.0769230769</v>
      </c>
      <c r="K38" s="117" t="n">
        <f aca="false">K35-IF(COLUMN()-COLUMN($B$38)&lt;$B$11,0,INDEX($B$35:$Y$35,1,COLUMN()-COLUMN($B$38)+1-$B$11))</f>
        <v>31971.1538461538</v>
      </c>
      <c r="L38" s="117" t="n">
        <f aca="false">L35-IF(COLUMN()-COLUMN($B$38)&lt;$B$11,0,INDEX($B$35:$Y$35,1,COLUMN()-COLUMN($B$38)+1-$B$11))</f>
        <v>34074.5192307692</v>
      </c>
      <c r="M38" s="117" t="n">
        <f aca="false">M35-IF(COLUMN()-COLUMN($B$38)&lt;$B$11,0,INDEX($B$35:$Y$35,1,COLUMN()-COLUMN($B$38)+1-$B$11))</f>
        <v>42908.6538461539</v>
      </c>
      <c r="N38" s="117" t="n">
        <f aca="false">N35-IF(COLUMN()-COLUMN($B$38)&lt;$B$11,0,INDEX($B$35:$Y$35,1,COLUMN()-COLUMN($B$38)+1-$B$11))</f>
        <v>50060.0961538462</v>
      </c>
      <c r="O38" s="117" t="n">
        <f aca="false">O35-IF(COLUMN()-COLUMN($B$38)&lt;$B$11,0,INDEX($B$35:$Y$35,1,COLUMN()-COLUMN($B$38)+1-$B$11))</f>
        <v>55528.8461538462</v>
      </c>
      <c r="P38" s="117" t="n">
        <f aca="false">P35-IF(COLUMN()-COLUMN($B$38)&lt;$B$11,0,INDEX($B$35:$Y$35,1,COLUMN()-COLUMN($B$38)+1-$B$11))</f>
        <v>54687.5</v>
      </c>
      <c r="Q38" s="117" t="n">
        <f aca="false">Q35-IF(COLUMN()-COLUMN($B$38)&lt;$B$11,0,INDEX($B$35:$Y$35,1,COLUMN()-COLUMN($B$38)+1-$B$11))</f>
        <v>53004.8076923077</v>
      </c>
      <c r="R38" s="117" t="n">
        <f aca="false">R35-IF(COLUMN()-COLUMN($B$38)&lt;$B$11,0,INDEX($B$35:$Y$35,1,COLUMN()-COLUMN($B$38)+1-$B$11))</f>
        <v>50060.0961538462</v>
      </c>
      <c r="S38" s="117" t="n">
        <f aca="false">S35-IF(COLUMN()-COLUMN($B$38)&lt;$B$11,0,INDEX($B$35:$Y$35,1,COLUMN()-COLUMN($B$38)+1-$B$11))</f>
        <v>45012.0192307693</v>
      </c>
      <c r="T38" s="117" t="n">
        <f aca="false">T35-IF(COLUMN()-COLUMN($B$38)&lt;$B$11,0,INDEX($B$35:$Y$35,1,COLUMN()-COLUMN($B$38)+1-$B$11))</f>
        <v>34495.1923076923</v>
      </c>
      <c r="U38" s="117" t="n">
        <f aca="false">U35-IF(COLUMN()-COLUMN($B$38)&lt;$B$11,0,INDEX($B$35:$Y$35,1,COLUMN()-COLUMN($B$38)+1-$B$11))</f>
        <v>23557.6923076923</v>
      </c>
      <c r="V38" s="117" t="n">
        <f aca="false">V35-IF(COLUMN()-COLUMN($B$38)&lt;$B$11,0,INDEX($B$35:$Y$35,1,COLUMN()-COLUMN($B$38)+1-$B$11))</f>
        <v>15144.2307692308</v>
      </c>
      <c r="W38" s="117" t="n">
        <f aca="false">W35-IF(COLUMN()-COLUMN($B$38)&lt;$B$11,0,INDEX($B$35:$Y$35,1,COLUMN()-COLUMN($B$38)+1-$B$11))</f>
        <v>11778.8461538462</v>
      </c>
      <c r="X38" s="117" t="n">
        <f aca="false">X35-IF(COLUMN()-COLUMN($B$38)&lt;$B$11,0,INDEX($B$35:$Y$35,1,COLUMN()-COLUMN($B$38)+1-$B$11))</f>
        <v>11778.8461538461</v>
      </c>
      <c r="Y38" s="117" t="n">
        <f aca="false">Y35-IF(COLUMN()-COLUMN($B$38)&lt;$B$11,0,INDEX($B$35:$Y$35,1,COLUMN()-COLUMN($B$38)+1-$B$11))</f>
        <v>7992.78846153847</v>
      </c>
    </row>
    <row r="39" customFormat="false" ht="15" hidden="false" customHeight="false" outlineLevel="0" collapsed="false">
      <c r="A39" s="116" t="s">
        <v>341</v>
      </c>
      <c r="B39" s="117" t="n">
        <f aca="false">B36-IF(COLUMN()-COLUMN($B$39)&lt;$B$12,0,INDEX($B$36:$Y$36,1,COLUMN()-COLUMN($B$39)+1-$B$12))</f>
        <v>5192.30769230769</v>
      </c>
      <c r="C39" s="117" t="n">
        <f aca="false">C36-IF(COLUMN()-COLUMN($B$39)&lt;$B$12,0,INDEX($B$36:$Y$36,1,COLUMN()-COLUMN($B$39)+1-$B$12))</f>
        <v>6346.15384615385</v>
      </c>
      <c r="D39" s="117" t="n">
        <f aca="false">D36-IF(COLUMN()-COLUMN($B$39)&lt;$B$12,0,INDEX($B$36:$Y$36,1,COLUMN()-COLUMN($B$39)+1-$B$12))</f>
        <v>2548.07692307692</v>
      </c>
      <c r="E39" s="117" t="n">
        <f aca="false">E36-IF(COLUMN()-COLUMN($B$39)&lt;$B$12,0,INDEX($B$36:$Y$36,1,COLUMN()-COLUMN($B$39)+1-$B$12))</f>
        <v>2548.07692307692</v>
      </c>
      <c r="F39" s="117" t="n">
        <f aca="false">F36-IF(COLUMN()-COLUMN($B$39)&lt;$B$12,0,INDEX($B$36:$Y$36,1,COLUMN()-COLUMN($B$39)+1-$B$12))</f>
        <v>2307.69230769231</v>
      </c>
      <c r="G39" s="117" t="n">
        <f aca="false">G36-IF(COLUMN()-COLUMN($B$39)&lt;$B$12,0,INDEX($B$36:$Y$36,1,COLUMN()-COLUMN($B$39)+1-$B$12))</f>
        <v>2548.07692307692</v>
      </c>
      <c r="H39" s="117" t="n">
        <f aca="false">H36-IF(COLUMN()-COLUMN($B$39)&lt;$B$12,0,INDEX($B$36:$Y$36,1,COLUMN()-COLUMN($B$39)+1-$B$12))</f>
        <v>2548.07692307692</v>
      </c>
      <c r="I39" s="117" t="n">
        <f aca="false">I36-IF(COLUMN()-COLUMN($B$39)&lt;$B$12,0,INDEX($B$36:$Y$36,1,COLUMN()-COLUMN($B$39)+1-$B$12))</f>
        <v>2307.69230769231</v>
      </c>
      <c r="J39" s="117" t="n">
        <f aca="false">J36-IF(COLUMN()-COLUMN($B$39)&lt;$B$12,0,INDEX($B$36:$Y$36,1,COLUMN()-COLUMN($B$39)+1-$B$12))</f>
        <v>2548.07692307693</v>
      </c>
      <c r="K39" s="117" t="n">
        <f aca="false">K36-IF(COLUMN()-COLUMN($B$39)&lt;$B$12,0,INDEX($B$36:$Y$36,1,COLUMN()-COLUMN($B$39)+1-$B$12))</f>
        <v>2548.07692307692</v>
      </c>
      <c r="L39" s="117" t="n">
        <f aca="false">L36-IF(COLUMN()-COLUMN($B$39)&lt;$B$12,0,INDEX($B$36:$Y$36,1,COLUMN()-COLUMN($B$39)+1-$B$12))</f>
        <v>2307.69230769231</v>
      </c>
      <c r="M39" s="117" t="n">
        <f aca="false">M36-IF(COLUMN()-COLUMN($B$39)&lt;$B$12,0,INDEX($B$36:$Y$36,1,COLUMN()-COLUMN($B$39)+1-$B$12))</f>
        <v>2548.07692307692</v>
      </c>
      <c r="N39" s="117" t="n">
        <f aca="false">N36-IF(COLUMN()-COLUMN($B$39)&lt;$B$12,0,INDEX($B$36:$Y$36,1,COLUMN()-COLUMN($B$39)+1-$B$12))</f>
        <v>2548.07692307692</v>
      </c>
      <c r="O39" s="117" t="n">
        <f aca="false">O36-IF(COLUMN()-COLUMN($B$39)&lt;$B$12,0,INDEX($B$36:$Y$36,1,COLUMN()-COLUMN($B$39)+1-$B$12))</f>
        <v>2548.07692307693</v>
      </c>
      <c r="P39" s="117" t="n">
        <f aca="false">P36-IF(COLUMN()-COLUMN($B$39)&lt;$B$12,0,INDEX($B$36:$Y$36,1,COLUMN()-COLUMN($B$39)+1-$B$12))</f>
        <v>2548.07692307692</v>
      </c>
      <c r="Q39" s="117" t="n">
        <f aca="false">Q36-IF(COLUMN()-COLUMN($B$39)&lt;$B$12,0,INDEX($B$36:$Y$36,1,COLUMN()-COLUMN($B$39)+1-$B$12))</f>
        <v>2307.69230769231</v>
      </c>
      <c r="R39" s="117" t="n">
        <f aca="false">R36-IF(COLUMN()-COLUMN($B$39)&lt;$B$12,0,INDEX($B$36:$Y$36,1,COLUMN()-COLUMN($B$39)+1-$B$12))</f>
        <v>2548.07692307692</v>
      </c>
      <c r="S39" s="117" t="n">
        <f aca="false">S36-IF(COLUMN()-COLUMN($B$39)&lt;$B$12,0,INDEX($B$36:$Y$36,1,COLUMN()-COLUMN($B$39)+1-$B$12))</f>
        <v>2548.07692307693</v>
      </c>
      <c r="T39" s="117" t="n">
        <f aca="false">T36-IF(COLUMN()-COLUMN($B$39)&lt;$B$12,0,INDEX($B$36:$Y$36,1,COLUMN()-COLUMN($B$39)+1-$B$12))</f>
        <v>2307.69230769231</v>
      </c>
      <c r="U39" s="117" t="n">
        <f aca="false">U36-IF(COLUMN()-COLUMN($B$39)&lt;$B$12,0,INDEX($B$36:$Y$36,1,COLUMN()-COLUMN($B$39)+1-$B$12))</f>
        <v>2548.07692307692</v>
      </c>
      <c r="V39" s="117" t="n">
        <f aca="false">V36-IF(COLUMN()-COLUMN($B$39)&lt;$B$12,0,INDEX($B$36:$Y$36,1,COLUMN()-COLUMN($B$39)+1-$B$12))</f>
        <v>2548.07692307692</v>
      </c>
      <c r="W39" s="117" t="n">
        <f aca="false">W36-IF(COLUMN()-COLUMN($B$39)&lt;$B$12,0,INDEX($B$36:$Y$36,1,COLUMN()-COLUMN($B$39)+1-$B$12))</f>
        <v>2307.69230769231</v>
      </c>
      <c r="X39" s="117" t="n">
        <f aca="false">X36-IF(COLUMN()-COLUMN($B$39)&lt;$B$12,0,INDEX($B$36:$Y$36,1,COLUMN()-COLUMN($B$39)+1-$B$12))</f>
        <v>2548.07692307693</v>
      </c>
      <c r="Y39" s="117" t="n">
        <f aca="false">Y36-IF(COLUMN()-COLUMN($B$39)&lt;$B$12,0,INDEX($B$36:$Y$36,1,COLUMN()-COLUMN($B$39)+1-$B$12))</f>
        <v>2548.07692307693</v>
      </c>
    </row>
    <row r="40" customFormat="false" ht="15" hidden="false" customHeight="false" outlineLevel="0" collapsed="false">
      <c r="A40" s="116" t="s">
        <v>309</v>
      </c>
      <c r="B40" s="117" t="n">
        <f aca="false">Assumptions!$B$5+B37-B38-B39-Assumptions!$B$31-Assumptions!$B$32/12</f>
        <v>922808.391025641</v>
      </c>
      <c r="C40" s="117" t="n">
        <f aca="false">B40+C37-C38-C39-Assumptions!$B$32/12</f>
        <v>868760.211538462</v>
      </c>
      <c r="D40" s="117" t="n">
        <f aca="false">C40+D37-D38-D39-Assumptions!$B$32/12</f>
        <v>817915.557692308</v>
      </c>
      <c r="E40" s="117" t="n">
        <f aca="false">D40+E37-E38-E39-Assumptions!$B$32/12</f>
        <v>767385.807692308</v>
      </c>
      <c r="F40" s="117" t="n">
        <f aca="false">E40+F37-F38-F39-Assumptions!$B$32/12</f>
        <v>718497.083333334</v>
      </c>
      <c r="G40" s="117" t="n">
        <f aca="false">F40+G37-G38-G39-Assumptions!$B$32/12</f>
        <v>670143.615384616</v>
      </c>
      <c r="H40" s="117" t="n">
        <f aca="false">G40+H37-H38-H39-Assumptions!$B$32/12</f>
        <v>618654.76923077</v>
      </c>
      <c r="I40" s="117" t="n">
        <f aca="false">H40+I37-I38-I39-Assumptions!$B$32/12</f>
        <v>564163.51923077</v>
      </c>
      <c r="J40" s="117" t="n">
        <f aca="false">I40+J37-J38-J39-Assumptions!$B$32/12</f>
        <v>507803.67948718</v>
      </c>
      <c r="K40" s="117" t="n">
        <f aca="false">J40+K37-K38-K39-Assumptions!$B$32/12</f>
        <v>452027.173076924</v>
      </c>
      <c r="L40" s="117" t="n">
        <f aca="false">K40+L37-L38-L39-Assumptions!$B$32/12</f>
        <v>400019.096153847</v>
      </c>
      <c r="M40" s="117" t="n">
        <f aca="false">L40+M37-M38-M39-Assumptions!$B$32/12</f>
        <v>347320.314102566</v>
      </c>
      <c r="N40" s="117" t="n">
        <f aca="false">M40+N37-N38-N39</f>
        <v>300264.961538464</v>
      </c>
      <c r="O40" s="117" t="n">
        <f aca="false">N40+O37-O38-O39</f>
        <v>255772.108974361</v>
      </c>
      <c r="P40" s="117" t="n">
        <f aca="false">O40+P37-P38-P39</f>
        <v>220043.679487182</v>
      </c>
      <c r="Q40" s="117" t="n">
        <f aca="false">P40+Q37-Q38-Q39</f>
        <v>194161.403846157</v>
      </c>
      <c r="R40" s="117" t="n">
        <f aca="false">Q40+R37-R38-R39</f>
        <v>177780.730769235</v>
      </c>
      <c r="S40" s="117" t="n">
        <f aca="false">R40+S37-S38-S39</f>
        <v>172255.826923082</v>
      </c>
      <c r="T40" s="117" t="n">
        <f aca="false">S40+T37-T38-T39</f>
        <v>181004.160256416</v>
      </c>
      <c r="U40" s="117" t="n">
        <f aca="false">T40+U37-U38-U39</f>
        <v>202663.551282057</v>
      </c>
      <c r="V40" s="117" t="n">
        <f aca="false">U40+V37-V38-V39</f>
        <v>235018.455128212</v>
      </c>
      <c r="W40" s="117" t="n">
        <f aca="false">V40+W37-W38-W39</f>
        <v>273084.897435905</v>
      </c>
      <c r="X40" s="117" t="n">
        <f aca="false">W40+X37-X38-X39</f>
        <v>313124.897435906</v>
      </c>
      <c r="Y40" s="117" t="n">
        <f aca="false">X40+Y37-Y38-Y39</f>
        <v>357646.467948727</v>
      </c>
    </row>
    <row r="41" customFormat="false" ht="15" hidden="false" customHeight="false" outlineLevel="0" collapsed="false">
      <c r="A41" s="118" t="s">
        <v>342</v>
      </c>
      <c r="B41" s="119" t="n">
        <f aca="false">IF(B37&gt;=0,1,999)</f>
        <v>999</v>
      </c>
      <c r="C41" s="119" t="n">
        <f aca="false">IF(C37&gt;=0,2,999)</f>
        <v>999</v>
      </c>
      <c r="D41" s="119" t="n">
        <f aca="false">IF(D37&gt;=0,3,999)</f>
        <v>999</v>
      </c>
      <c r="E41" s="119" t="n">
        <f aca="false">IF(E37&gt;=0,4,999)</f>
        <v>999</v>
      </c>
      <c r="F41" s="119" t="n">
        <f aca="false">IF(F37&gt;=0,5,999)</f>
        <v>999</v>
      </c>
      <c r="G41" s="119" t="n">
        <f aca="false">IF(G37&gt;=0,6,999)</f>
        <v>999</v>
      </c>
      <c r="H41" s="119" t="n">
        <f aca="false">IF(H37&gt;=0,7,999)</f>
        <v>999</v>
      </c>
      <c r="I41" s="119" t="n">
        <f aca="false">IF(I37&gt;=0,8,999)</f>
        <v>999</v>
      </c>
      <c r="J41" s="119" t="n">
        <f aca="false">IF(J37&gt;=0,9,999)</f>
        <v>999</v>
      </c>
      <c r="K41" s="119" t="n">
        <f aca="false">IF(K37&gt;=0,10,999)</f>
        <v>999</v>
      </c>
      <c r="L41" s="119" t="n">
        <f aca="false">IF(L37&gt;=0,11,999)</f>
        <v>999</v>
      </c>
      <c r="M41" s="119" t="n">
        <f aca="false">IF(M37&gt;=0,12,999)</f>
        <v>999</v>
      </c>
      <c r="N41" s="119" t="n">
        <f aca="false">IF(N37&gt;=0,13,999)</f>
        <v>13</v>
      </c>
      <c r="O41" s="119" t="n">
        <f aca="false">IF(O37&gt;=0,14,999)</f>
        <v>14</v>
      </c>
      <c r="P41" s="119" t="n">
        <f aca="false">IF(P37&gt;=0,15,999)</f>
        <v>15</v>
      </c>
      <c r="Q41" s="119" t="n">
        <f aca="false">IF(Q37&gt;=0,16,999)</f>
        <v>16</v>
      </c>
      <c r="R41" s="119" t="n">
        <f aca="false">IF(R37&gt;=0,17,999)</f>
        <v>17</v>
      </c>
      <c r="S41" s="119" t="n">
        <f aca="false">IF(S37&gt;=0,18,999)</f>
        <v>18</v>
      </c>
      <c r="T41" s="119" t="n">
        <f aca="false">IF(T37&gt;=0,19,999)</f>
        <v>19</v>
      </c>
      <c r="U41" s="119" t="n">
        <f aca="false">IF(U37&gt;=0,20,999)</f>
        <v>20</v>
      </c>
      <c r="V41" s="119" t="n">
        <f aca="false">IF(V37&gt;=0,21,999)</f>
        <v>21</v>
      </c>
      <c r="W41" s="119" t="n">
        <f aca="false">IF(W37&gt;=0,22,999)</f>
        <v>22</v>
      </c>
      <c r="X41" s="119" t="n">
        <f aca="false">IF(X37&gt;=0,23,999)</f>
        <v>23</v>
      </c>
      <c r="Y41" s="119" t="n">
        <f aca="false">IF(Y37&gt;=0,24,999)</f>
        <v>24</v>
      </c>
    </row>
    <row r="44" customFormat="false" ht="15" hidden="false" customHeight="false" outlineLevel="0" collapsed="false">
      <c r="A44" s="113" t="s">
        <v>343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</row>
    <row r="45" customFormat="false" ht="15" hidden="false" customHeight="false" outlineLevel="0" collapsed="false">
      <c r="A45" s="10" t="s">
        <v>150</v>
      </c>
      <c r="B45" s="11" t="str">
        <f aca="false">'Monthly P&amp;L'!B3</f>
        <v>Jul-26</v>
      </c>
      <c r="C45" s="11" t="str">
        <f aca="false">'Monthly P&amp;L'!C3</f>
        <v>Aug-26</v>
      </c>
      <c r="D45" s="11" t="str">
        <f aca="false">'Monthly P&amp;L'!D3</f>
        <v>Sep-26</v>
      </c>
      <c r="E45" s="11" t="str">
        <f aca="false">'Monthly P&amp;L'!E3</f>
        <v>Oct-26</v>
      </c>
      <c r="F45" s="11" t="str">
        <f aca="false">'Monthly P&amp;L'!F3</f>
        <v>Nov-26</v>
      </c>
      <c r="G45" s="11" t="str">
        <f aca="false">'Monthly P&amp;L'!G3</f>
        <v>Dec-26</v>
      </c>
      <c r="H45" s="11" t="str">
        <f aca="false">'Monthly P&amp;L'!H3</f>
        <v>Jan-27</v>
      </c>
      <c r="I45" s="11" t="str">
        <f aca="false">'Monthly P&amp;L'!I3</f>
        <v>Feb-27</v>
      </c>
      <c r="J45" s="11" t="str">
        <f aca="false">'Monthly P&amp;L'!J3</f>
        <v>Mar-27</v>
      </c>
      <c r="K45" s="11" t="str">
        <f aca="false">'Monthly P&amp;L'!K3</f>
        <v>Apr-27</v>
      </c>
      <c r="L45" s="11" t="str">
        <f aca="false">'Monthly P&amp;L'!L3</f>
        <v>May-27</v>
      </c>
      <c r="M45" s="11" t="str">
        <f aca="false">'Monthly P&amp;L'!M3</f>
        <v>Jun-27</v>
      </c>
      <c r="N45" s="11" t="str">
        <f aca="false">'Monthly P&amp;L'!N3</f>
        <v>Jul-27</v>
      </c>
      <c r="O45" s="11" t="str">
        <f aca="false">'Monthly P&amp;L'!O3</f>
        <v>Aug-27</v>
      </c>
      <c r="P45" s="11" t="str">
        <f aca="false">'Monthly P&amp;L'!P3</f>
        <v>Sep-27</v>
      </c>
      <c r="Q45" s="11" t="str">
        <f aca="false">'Monthly P&amp;L'!Q3</f>
        <v>Oct-27</v>
      </c>
      <c r="R45" s="11" t="str">
        <f aca="false">'Monthly P&amp;L'!R3</f>
        <v>Nov-27</v>
      </c>
      <c r="S45" s="11" t="str">
        <f aca="false">'Monthly P&amp;L'!S3</f>
        <v>Dec-27</v>
      </c>
      <c r="T45" s="11" t="str">
        <f aca="false">'Monthly P&amp;L'!T3</f>
        <v>Jan-28</v>
      </c>
      <c r="U45" s="11" t="str">
        <f aca="false">'Monthly P&amp;L'!U3</f>
        <v>Feb-28</v>
      </c>
      <c r="V45" s="11" t="str">
        <f aca="false">'Monthly P&amp;L'!V3</f>
        <v>Mar-28</v>
      </c>
      <c r="W45" s="11" t="str">
        <f aca="false">'Monthly P&amp;L'!W3</f>
        <v>Apr-28</v>
      </c>
      <c r="X45" s="11" t="str">
        <f aca="false">'Monthly P&amp;L'!X3</f>
        <v>May-28</v>
      </c>
      <c r="Y45" s="12" t="str">
        <f aca="false">'Monthly P&amp;L'!Y3</f>
        <v>Jun-28</v>
      </c>
    </row>
    <row r="46" customFormat="false" ht="15" hidden="false" customHeight="false" outlineLevel="0" collapsed="false">
      <c r="A46" s="114" t="s">
        <v>182</v>
      </c>
      <c r="B46" s="115" t="n">
        <f aca="false">'Monthly P&amp;L'!B5*$C$5*((1-$C$7)*Assumptions!$B$47+$C$7*(Assumptions!$B$55*Assumptions!$B$15))/Assumptions!$B$10</f>
        <v>3028.84615384615</v>
      </c>
      <c r="C46" s="115" t="n">
        <f aca="false">'Monthly P&amp;L'!C5*$C$5*((1-$C$7)*Assumptions!$B$47+$C$7*(Assumptions!$B$55*Assumptions!$B$15))/Assumptions!$B$10</f>
        <v>8076.92307692308</v>
      </c>
      <c r="D46" s="115" t="n">
        <f aca="false">'Monthly P&amp;L'!D5*$C$5*((1-$C$7)*Assumptions!$B$47+$C$7*(Assumptions!$B$55*Assumptions!$B$15))/Assumptions!$B$10</f>
        <v>13125</v>
      </c>
      <c r="E46" s="115" t="n">
        <f aca="false">'Monthly P&amp;L'!E5*$C$5*((1-$C$7)*Assumptions!$B$47+$C$7*(Assumptions!$B$55*Assumptions!$B$15))/Assumptions!$B$10</f>
        <v>19182.6923076923</v>
      </c>
      <c r="F46" s="115" t="n">
        <f aca="false">'Monthly P&amp;L'!F5*$C$5*((1-$C$7)*Assumptions!$B$47+$C$7*(Assumptions!$B$55*Assumptions!$B$15))/Assumptions!$B$10</f>
        <v>24230.7692307692</v>
      </c>
      <c r="G46" s="115" t="n">
        <f aca="false">'Monthly P&amp;L'!G5*$C$5*((1-$C$7)*Assumptions!$B$47+$C$7*(Assumptions!$B$55*Assumptions!$B$15))/Assumptions!$B$10</f>
        <v>32307.6923076923</v>
      </c>
      <c r="H46" s="115" t="n">
        <f aca="false">'Monthly P&amp;L'!H5*$C$5*((1-$C$7)*Assumptions!$B$47+$C$7*(Assumptions!$B$55*Assumptions!$B$15))/Assumptions!$B$10</f>
        <v>49471.1538461538</v>
      </c>
      <c r="I46" s="115" t="n">
        <f aca="false">'Monthly P&amp;L'!I5*$C$5*((1-$C$7)*Assumptions!$B$47+$C$7*(Assumptions!$B$55*Assumptions!$B$15))/Assumptions!$B$10</f>
        <v>73701.9230769231</v>
      </c>
      <c r="J46" s="115" t="n">
        <f aca="false">'Monthly P&amp;L'!J5*$C$5*((1-$C$7)*Assumptions!$B$47+$C$7*(Assumptions!$B$55*Assumptions!$B$15))/Assumptions!$B$10</f>
        <v>96923.0769230769</v>
      </c>
      <c r="K46" s="115" t="n">
        <f aca="false">'Monthly P&amp;L'!K5*$C$5*((1-$C$7)*Assumptions!$B$47+$C$7*(Assumptions!$B$55*Assumptions!$B$15))/Assumptions!$B$10</f>
        <v>126201.923076923</v>
      </c>
      <c r="L46" s="115" t="n">
        <f aca="false">'Monthly P&amp;L'!L5*$C$5*((1-$C$7)*Assumptions!$B$47+$C$7*(Assumptions!$B$55*Assumptions!$B$15))/Assumptions!$B$10</f>
        <v>155480.769230769</v>
      </c>
      <c r="M46" s="115" t="n">
        <f aca="false">'Monthly P&amp;L'!M5*$C$5*((1-$C$7)*Assumptions!$B$47+$C$7*(Assumptions!$B$55*Assumptions!$B$15))/Assumptions!$B$10</f>
        <v>199903.846153846</v>
      </c>
      <c r="N46" s="115" t="n">
        <f aca="false">'Monthly P&amp;L'!N5*$C$5*((1-$C$7)*Assumptions!$B$47+$C$7*(Assumptions!$B$55*Assumptions!$B$15))/Assumptions!$B$10</f>
        <v>246346.153846154</v>
      </c>
      <c r="O46" s="115" t="n">
        <f aca="false">'Monthly P&amp;L'!O5*$C$5*((1-$C$7)*Assumptions!$B$47+$C$7*(Assumptions!$B$55*Assumptions!$B$15))/Assumptions!$B$10</f>
        <v>288750</v>
      </c>
      <c r="P46" s="115" t="n">
        <f aca="false">'Monthly P&amp;L'!P5*$C$5*((1-$C$7)*Assumptions!$B$47+$C$7*(Assumptions!$B$55*Assumptions!$B$15))/Assumptions!$B$10</f>
        <v>331153.846153846</v>
      </c>
      <c r="Q46" s="115" t="n">
        <f aca="false">'Monthly P&amp;L'!Q5*$C$5*((1-$C$7)*Assumptions!$B$47+$C$7*(Assumptions!$B$55*Assumptions!$B$15))/Assumptions!$B$10</f>
        <v>373557.692307692</v>
      </c>
      <c r="R46" s="115" t="n">
        <f aca="false">'Monthly P&amp;L'!R5*$C$5*((1-$C$7)*Assumptions!$B$47+$C$7*(Assumptions!$B$55*Assumptions!$B$15))/Assumptions!$B$10</f>
        <v>408894.230769231</v>
      </c>
      <c r="S46" s="115" t="n">
        <f aca="false">'Monthly P&amp;L'!S5*$C$5*((1-$C$7)*Assumptions!$B$47+$C$7*(Assumptions!$B$55*Assumptions!$B$15))/Assumptions!$B$10</f>
        <v>439182.692307692</v>
      </c>
      <c r="T46" s="115" t="n">
        <f aca="false">'Monthly P&amp;L'!T5*$C$5*((1-$C$7)*Assumptions!$B$47+$C$7*(Assumptions!$B$55*Assumptions!$B$15))/Assumptions!$B$10</f>
        <v>456346.153846154</v>
      </c>
      <c r="U46" s="115" t="n">
        <f aca="false">'Monthly P&amp;L'!U5*$C$5*((1-$C$7)*Assumptions!$B$47+$C$7*(Assumptions!$B$55*Assumptions!$B$15))/Assumptions!$B$10</f>
        <v>465432.692307692</v>
      </c>
      <c r="V46" s="115" t="n">
        <f aca="false">'Monthly P&amp;L'!V5*$C$5*((1-$C$7)*Assumptions!$B$47+$C$7*(Assumptions!$B$55*Assumptions!$B$15))/Assumptions!$B$10</f>
        <v>475528.846153846</v>
      </c>
      <c r="W46" s="115" t="n">
        <f aca="false">'Monthly P&amp;L'!W5*$C$5*((1-$C$7)*Assumptions!$B$47+$C$7*(Assumptions!$B$55*Assumptions!$B$15))/Assumptions!$B$10</f>
        <v>484615.384615385</v>
      </c>
      <c r="X46" s="115" t="n">
        <f aca="false">'Monthly P&amp;L'!X5*$C$5*((1-$C$7)*Assumptions!$B$47+$C$7*(Assumptions!$B$55*Assumptions!$B$15))/Assumptions!$B$10</f>
        <v>493701.923076923</v>
      </c>
      <c r="Y46" s="115" t="n">
        <f aca="false">'Monthly P&amp;L'!Y5*$C$5*((1-$C$7)*Assumptions!$B$47+$C$7*(Assumptions!$B$55*Assumptions!$B$15))/Assumptions!$B$10</f>
        <v>494711.538461538</v>
      </c>
    </row>
    <row r="47" customFormat="false" ht="15" hidden="false" customHeight="false" outlineLevel="0" collapsed="false">
      <c r="A47" s="116" t="s">
        <v>183</v>
      </c>
      <c r="B47" s="117" t="n">
        <f aca="false">'Monthly P&amp;L'!B10*$C$6</f>
        <v>7788.46153846154</v>
      </c>
      <c r="C47" s="117" t="n">
        <f aca="false">'Monthly P&amp;L'!C10*$C$6</f>
        <v>9519.23076923077</v>
      </c>
      <c r="D47" s="117" t="n">
        <f aca="false">'Monthly P&amp;L'!D10*$C$6</f>
        <v>11610.5769230769</v>
      </c>
      <c r="E47" s="117" t="n">
        <f aca="false">'Monthly P&amp;L'!E10*$C$6</f>
        <v>13341.3461538462</v>
      </c>
      <c r="F47" s="117" t="n">
        <f aca="false">'Monthly P&amp;L'!F10*$C$6</f>
        <v>15072.1153846154</v>
      </c>
      <c r="G47" s="117" t="n">
        <f aca="false">'Monthly P&amp;L'!G10*$C$6</f>
        <v>17163.4615384615</v>
      </c>
      <c r="H47" s="117" t="n">
        <f aca="false">'Monthly P&amp;L'!H10*$C$6</f>
        <v>18894.2307692308</v>
      </c>
      <c r="I47" s="117" t="n">
        <f aca="false">'Monthly P&amp;L'!I10*$C$6</f>
        <v>20625</v>
      </c>
      <c r="J47" s="117" t="n">
        <f aca="false">'Monthly P&amp;L'!J10*$C$6</f>
        <v>22716.3461538462</v>
      </c>
      <c r="K47" s="117" t="n">
        <f aca="false">'Monthly P&amp;L'!K10*$C$6</f>
        <v>24447.1153846154</v>
      </c>
      <c r="L47" s="117" t="n">
        <f aca="false">'Monthly P&amp;L'!L10*$C$6</f>
        <v>26177.8846153846</v>
      </c>
      <c r="M47" s="117" t="n">
        <f aca="false">'Monthly P&amp;L'!M10*$C$6</f>
        <v>28269.2307692308</v>
      </c>
      <c r="N47" s="117" t="n">
        <f aca="false">'Monthly P&amp;L'!N10*$C$6</f>
        <v>30000</v>
      </c>
      <c r="O47" s="117" t="n">
        <f aca="false">'Monthly P&amp;L'!O10*$C$6</f>
        <v>32091.3461538462</v>
      </c>
      <c r="P47" s="117" t="n">
        <f aca="false">'Monthly P&amp;L'!P10*$C$6</f>
        <v>33822.1153846154</v>
      </c>
      <c r="Q47" s="117" t="n">
        <f aca="false">'Monthly P&amp;L'!Q10*$C$6</f>
        <v>35552.8846153846</v>
      </c>
      <c r="R47" s="117" t="n">
        <f aca="false">'Monthly P&amp;L'!R10*$C$6</f>
        <v>37644.2307692308</v>
      </c>
      <c r="S47" s="117" t="n">
        <f aca="false">'Monthly P&amp;L'!S10*$C$6</f>
        <v>39375</v>
      </c>
      <c r="T47" s="117" t="n">
        <f aca="false">'Monthly P&amp;L'!T10*$C$6</f>
        <v>41105.7692307692</v>
      </c>
      <c r="U47" s="117" t="n">
        <f aca="false">'Monthly P&amp;L'!U10*$C$6</f>
        <v>43197.1153846154</v>
      </c>
      <c r="V47" s="117" t="n">
        <f aca="false">'Monthly P&amp;L'!V10*$C$6</f>
        <v>44927.8846153846</v>
      </c>
      <c r="W47" s="117" t="n">
        <f aca="false">'Monthly P&amp;L'!W10*$C$6</f>
        <v>46658.6538461538</v>
      </c>
      <c r="X47" s="117" t="n">
        <f aca="false">'Monthly P&amp;L'!X10*$C$6</f>
        <v>48750</v>
      </c>
      <c r="Y47" s="117" t="n">
        <f aca="false">'Monthly P&amp;L'!Y10*$C$6</f>
        <v>50480.7692307692</v>
      </c>
    </row>
    <row r="48" customFormat="false" ht="15" hidden="false" customHeight="false" outlineLevel="0" collapsed="false">
      <c r="A48" s="116" t="s">
        <v>189</v>
      </c>
      <c r="B48" s="117" t="n">
        <f aca="false">'Monthly P&amp;L'!B5*$C$5*((1-$C$7)*(Assumptions!$B$47-Assumptions!$B$43*$C$8-Assumptions!$B$44-Assumptions!$B$45)+$C$7*Assumptions!$B$57)/Assumptions!$B$10+B47*$C$13-'Monthly P&amp;L'!B15*$C$9</f>
        <v>-45681.3461538461</v>
      </c>
      <c r="C48" s="117" t="n">
        <f aca="false">'Monthly P&amp;L'!C5*$C$5*((1-$C$7)*(Assumptions!$B$47-Assumptions!$B$43*$C$8-Assumptions!$B$44-Assumptions!$B$45)+$C$7*Assumptions!$B$57)/Assumptions!$B$10+C47*$C$13-'Monthly P&amp;L'!C15*$C$9</f>
        <v>-42354.4230769231</v>
      </c>
      <c r="D48" s="117" t="n">
        <f aca="false">'Monthly P&amp;L'!D5*$C$5*((1-$C$7)*(Assumptions!$B$47-Assumptions!$B$43*$C$8-Assumptions!$B$44-Assumptions!$B$45)+$C$7*Assumptions!$B$57)/Assumptions!$B$10+D47*$C$13-'Monthly P&amp;L'!D15*$C$9</f>
        <v>-38865.2403846153</v>
      </c>
      <c r="E48" s="117" t="n">
        <f aca="false">'Monthly P&amp;L'!E5*$C$5*((1-$C$7)*(Assumptions!$B$47-Assumptions!$B$43*$C$8-Assumptions!$B$44-Assumptions!$B$45)+$C$7*Assumptions!$B$57)/Assumptions!$B$10+E47*$C$13-'Monthly P&amp;L'!E15*$C$9</f>
        <v>-35028.7019230769</v>
      </c>
      <c r="F48" s="117" t="n">
        <f aca="false">'Monthly P&amp;L'!F5*$C$5*((1-$C$7)*(Assumptions!$B$47-Assumptions!$B$43*$C$8-Assumptions!$B$44-Assumptions!$B$45)+$C$7*Assumptions!$B$57)/Assumptions!$B$10+F47*$C$13-'Monthly P&amp;L'!F15*$C$9</f>
        <v>-31701.7788461538</v>
      </c>
      <c r="G48" s="117" t="n">
        <f aca="false">'Monthly P&amp;L'!G5*$C$5*((1-$C$7)*(Assumptions!$B$47-Assumptions!$B$43*$C$8-Assumptions!$B$44-Assumptions!$B$45)+$C$7*Assumptions!$B$57)/Assumptions!$B$10+G47*$C$13-'Monthly P&amp;L'!G15*$C$9</f>
        <v>-26683.7499999999</v>
      </c>
      <c r="H48" s="117" t="n">
        <f aca="false">'Monthly P&amp;L'!H5*$C$5*((1-$C$7)*(Assumptions!$B$47-Assumptions!$B$43*$C$8-Assumptions!$B$44-Assumptions!$B$45)+$C$7*Assumptions!$B$57)/Assumptions!$B$10+H47*$C$13-'Monthly P&amp;L'!H15*$C$9</f>
        <v>-19551.4423076921</v>
      </c>
      <c r="I48" s="117" t="n">
        <f aca="false">'Monthly P&amp;L'!I5*$C$5*((1-$C$7)*(Assumptions!$B$47-Assumptions!$B$43*$C$8-Assumptions!$B$44-Assumptions!$B$45)+$C$7*Assumptions!$B$57)/Assumptions!$B$10+I47*$C$13-'Monthly P&amp;L'!I15*$C$9</f>
        <v>-6541.82692307665</v>
      </c>
      <c r="J48" s="117" t="n">
        <f aca="false">'Monthly P&amp;L'!J5*$C$5*((1-$C$7)*(Assumptions!$B$47-Assumptions!$B$43*$C$8-Assumptions!$B$44-Assumptions!$B$45)+$C$7*Assumptions!$B$57)/Assumptions!$B$10+J47*$C$13-'Monthly P&amp;L'!J15*$C$9</f>
        <v>6120.43269230806</v>
      </c>
      <c r="K48" s="117" t="n">
        <f aca="false">'Monthly P&amp;L'!K5*$C$5*((1-$C$7)*(Assumptions!$B$47-Assumptions!$B$43*$C$8-Assumptions!$B$44-Assumptions!$B$45)+$C$7*Assumptions!$B$57)/Assumptions!$B$10+K47*$C$13-'Monthly P&amp;L'!K15*$C$9</f>
        <v>21678.1250000005</v>
      </c>
      <c r="L48" s="117" t="n">
        <f aca="false">'Monthly P&amp;L'!L5*$C$5*((1-$C$7)*(Assumptions!$B$47-Assumptions!$B$43*$C$8-Assumptions!$B$44-Assumptions!$B$45)+$C$7*Assumptions!$B$57)/Assumptions!$B$10+L47*$C$13-'Monthly P&amp;L'!L15*$C$9</f>
        <v>37235.8173076929</v>
      </c>
      <c r="M48" s="117" t="n">
        <f aca="false">'Monthly P&amp;L'!M5*$C$5*((1-$C$7)*(Assumptions!$B$47-Assumptions!$B$43*$C$8-Assumptions!$B$44-Assumptions!$B$45)+$C$7*Assumptions!$B$57)/Assumptions!$B$10+M47*$C$13-'Monthly P&amp;L'!M15*$C$9</f>
        <v>60600.0000000008</v>
      </c>
      <c r="N48" s="117" t="n">
        <f aca="false">'Monthly P&amp;L'!N5*$C$5*((1-$C$7)*(Assumptions!$B$47-Assumptions!$B$43*$C$8-Assumptions!$B$44-Assumptions!$B$45)+$C$7*Assumptions!$B$57)/Assumptions!$B$10+N47*$C$13-'Monthly P&amp;L'!N15*$C$9</f>
        <v>84821.1538461548</v>
      </c>
      <c r="O48" s="117" t="n">
        <f aca="false">'Monthly P&amp;L'!O5*$C$5*((1-$C$7)*(Assumptions!$B$47-Assumptions!$B$43*$C$8-Assumptions!$B$44-Assumptions!$B$45)+$C$7*Assumptions!$B$57)/Assumptions!$B$10+O47*$C$13-'Monthly P&amp;L'!O15*$C$9</f>
        <v>107166.105769232</v>
      </c>
      <c r="P48" s="117" t="n">
        <f aca="false">'Monthly P&amp;L'!P5*$C$5*((1-$C$7)*(Assumptions!$B$47-Assumptions!$B$43*$C$8-Assumptions!$B$44-Assumptions!$B$45)+$C$7*Assumptions!$B$57)/Assumptions!$B$10+P47*$C$13-'Monthly P&amp;L'!P15*$C$9</f>
        <v>129348.798076924</v>
      </c>
      <c r="Q48" s="117" t="n">
        <f aca="false">'Monthly P&amp;L'!Q5*$C$5*((1-$C$7)*(Assumptions!$B$47-Assumptions!$B$43*$C$8-Assumptions!$B$44-Assumptions!$B$45)+$C$7*Assumptions!$B$57)/Assumptions!$B$10+Q47*$C$13-'Monthly P&amp;L'!Q15*$C$9</f>
        <v>151531.490384617</v>
      </c>
      <c r="R48" s="117" t="n">
        <f aca="false">'Monthly P&amp;L'!R5*$C$5*((1-$C$7)*(Assumptions!$B$47-Assumptions!$B$43*$C$8-Assumptions!$B$44-Assumptions!$B$45)+$C$7*Assumptions!$B$57)/Assumptions!$B$10+R47*$C$13-'Monthly P&amp;L'!R15*$C$9</f>
        <v>170309.134615386</v>
      </c>
      <c r="S48" s="117" t="n">
        <f aca="false">'Monthly P&amp;L'!S5*$C$5*((1-$C$7)*(Assumptions!$B$47-Assumptions!$B$43*$C$8-Assumptions!$B$44-Assumptions!$B$45)+$C$7*Assumptions!$B$57)/Assumptions!$B$10+S47*$C$13-'Monthly P&amp;L'!S15*$C$9</f>
        <v>186376.442307694</v>
      </c>
      <c r="T48" s="117" t="n">
        <f aca="false">'Monthly P&amp;L'!T5*$C$5*((1-$C$7)*(Assumptions!$B$47-Assumptions!$B$43*$C$8-Assumptions!$B$44-Assumptions!$B$45)+$C$7*Assumptions!$B$57)/Assumptions!$B$10+T47*$C$13-'Monthly P&amp;L'!T15*$C$9</f>
        <v>195818.750000002</v>
      </c>
      <c r="U48" s="117" t="n">
        <f aca="false">'Monthly P&amp;L'!U5*$C$5*((1-$C$7)*(Assumptions!$B$47-Assumptions!$B$43*$C$8-Assumptions!$B$44-Assumptions!$B$45)+$C$7*Assumptions!$B$57)/Assumptions!$B$10+U47*$C$13-'Monthly P&amp;L'!U15*$C$9</f>
        <v>201346.394230771</v>
      </c>
      <c r="V48" s="117" t="n">
        <f aca="false">'Monthly P&amp;L'!V5*$C$5*((1-$C$7)*(Assumptions!$B$47-Assumptions!$B$43*$C$8-Assumptions!$B$44-Assumptions!$B$45)+$C$7*Assumptions!$B$57)/Assumptions!$B$10+V47*$C$13-'Monthly P&amp;L'!V15*$C$9</f>
        <v>207221.394230771</v>
      </c>
      <c r="W48" s="117" t="n">
        <f aca="false">'Monthly P&amp;L'!W5*$C$5*((1-$C$7)*(Assumptions!$B$47-Assumptions!$B$43*$C$8-Assumptions!$B$44-Assumptions!$B$45)+$C$7*Assumptions!$B$57)/Assumptions!$B$10+W47*$C$13-'Monthly P&amp;L'!W15*$C$9</f>
        <v>212586.778846156</v>
      </c>
      <c r="X48" s="117" t="n">
        <f aca="false">'Monthly P&amp;L'!X5*$C$5*((1-$C$7)*(Assumptions!$B$47-Assumptions!$B$43*$C$8-Assumptions!$B$44-Assumptions!$B$45)+$C$7*Assumptions!$B$57)/Assumptions!$B$10+X47*$C$13-'Monthly P&amp;L'!X15*$C$9</f>
        <v>218114.423076925</v>
      </c>
      <c r="Y48" s="117" t="n">
        <f aca="false">'Monthly P&amp;L'!Y5*$C$5*((1-$C$7)*(Assumptions!$B$47-Assumptions!$B$43*$C$8-Assumptions!$B$44-Assumptions!$B$45)+$C$7*Assumptions!$B$57)/Assumptions!$B$10+Y47*$C$13-'Monthly P&amp;L'!Y15*$C$9</f>
        <v>219402.884615387</v>
      </c>
    </row>
    <row r="49" customFormat="false" ht="15" hidden="false" customHeight="false" outlineLevel="0" collapsed="false">
      <c r="A49" s="116" t="s">
        <v>340</v>
      </c>
      <c r="B49" s="117" t="n">
        <f aca="false">B46-IF(COLUMN()-COLUMN($B$49)&lt;$C$11,0,INDEX($B$46:$Y$46,1,COLUMN()-COLUMN($B$49)+1-$C$11))</f>
        <v>3028.84615384615</v>
      </c>
      <c r="C49" s="117" t="n">
        <f aca="false">C46-IF(COLUMN()-COLUMN($B$49)&lt;$C$11,0,INDEX($B$46:$Y$46,1,COLUMN()-COLUMN($B$49)+1-$C$11))</f>
        <v>8076.92307692308</v>
      </c>
      <c r="D49" s="117" t="n">
        <f aca="false">D46-IF(COLUMN()-COLUMN($B$49)&lt;$C$11,0,INDEX($B$46:$Y$46,1,COLUMN()-COLUMN($B$49)+1-$C$11))</f>
        <v>10096.1538461538</v>
      </c>
      <c r="E49" s="117" t="n">
        <f aca="false">E46-IF(COLUMN()-COLUMN($B$49)&lt;$C$11,0,INDEX($B$46:$Y$46,1,COLUMN()-COLUMN($B$49)+1-$C$11))</f>
        <v>11105.7692307692</v>
      </c>
      <c r="F49" s="117" t="n">
        <f aca="false">F46-IF(COLUMN()-COLUMN($B$49)&lt;$C$11,0,INDEX($B$46:$Y$46,1,COLUMN()-COLUMN($B$49)+1-$C$11))</f>
        <v>11105.7692307692</v>
      </c>
      <c r="G49" s="117" t="n">
        <f aca="false">G46-IF(COLUMN()-COLUMN($B$49)&lt;$C$11,0,INDEX($B$46:$Y$46,1,COLUMN()-COLUMN($B$49)+1-$C$11))</f>
        <v>13125</v>
      </c>
      <c r="H49" s="117" t="n">
        <f aca="false">H46-IF(COLUMN()-COLUMN($B$49)&lt;$C$11,0,INDEX($B$46:$Y$46,1,COLUMN()-COLUMN($B$49)+1-$C$11))</f>
        <v>25240.3846153846</v>
      </c>
      <c r="I49" s="117" t="n">
        <f aca="false">I46-IF(COLUMN()-COLUMN($B$49)&lt;$C$11,0,INDEX($B$46:$Y$46,1,COLUMN()-COLUMN($B$49)+1-$C$11))</f>
        <v>41394.2307692308</v>
      </c>
      <c r="J49" s="117" t="n">
        <f aca="false">J46-IF(COLUMN()-COLUMN($B$49)&lt;$C$11,0,INDEX($B$46:$Y$46,1,COLUMN()-COLUMN($B$49)+1-$C$11))</f>
        <v>47451.9230769231</v>
      </c>
      <c r="K49" s="117" t="n">
        <f aca="false">K46-IF(COLUMN()-COLUMN($B$49)&lt;$C$11,0,INDEX($B$46:$Y$46,1,COLUMN()-COLUMN($B$49)+1-$C$11))</f>
        <v>52500</v>
      </c>
      <c r="L49" s="117" t="n">
        <f aca="false">L46-IF(COLUMN()-COLUMN($B$49)&lt;$C$11,0,INDEX($B$46:$Y$46,1,COLUMN()-COLUMN($B$49)+1-$C$11))</f>
        <v>58557.6923076923</v>
      </c>
      <c r="M49" s="117" t="n">
        <f aca="false">M46-IF(COLUMN()-COLUMN($B$49)&lt;$C$11,0,INDEX($B$46:$Y$46,1,COLUMN()-COLUMN($B$49)+1-$C$11))</f>
        <v>73701.9230769231</v>
      </c>
      <c r="N49" s="117" t="n">
        <f aca="false">N46-IF(COLUMN()-COLUMN($B$49)&lt;$C$11,0,INDEX($B$46:$Y$46,1,COLUMN()-COLUMN($B$49)+1-$C$11))</f>
        <v>90865.3846153847</v>
      </c>
      <c r="O49" s="117" t="n">
        <f aca="false">O46-IF(COLUMN()-COLUMN($B$49)&lt;$C$11,0,INDEX($B$46:$Y$46,1,COLUMN()-COLUMN($B$49)+1-$C$11))</f>
        <v>88846.1538461538</v>
      </c>
      <c r="P49" s="117" t="n">
        <f aca="false">P46-IF(COLUMN()-COLUMN($B$49)&lt;$C$11,0,INDEX($B$46:$Y$46,1,COLUMN()-COLUMN($B$49)+1-$C$11))</f>
        <v>84807.6923076922</v>
      </c>
      <c r="Q49" s="117" t="n">
        <f aca="false">Q46-IF(COLUMN()-COLUMN($B$49)&lt;$C$11,0,INDEX($B$46:$Y$46,1,COLUMN()-COLUMN($B$49)+1-$C$11))</f>
        <v>84807.6923076923</v>
      </c>
      <c r="R49" s="117" t="n">
        <f aca="false">R46-IF(COLUMN()-COLUMN($B$49)&lt;$C$11,0,INDEX($B$46:$Y$46,1,COLUMN()-COLUMN($B$49)+1-$C$11))</f>
        <v>77740.3846153847</v>
      </c>
      <c r="S49" s="117" t="n">
        <f aca="false">S46-IF(COLUMN()-COLUMN($B$49)&lt;$C$11,0,INDEX($B$46:$Y$46,1,COLUMN()-COLUMN($B$49)+1-$C$11))</f>
        <v>65625</v>
      </c>
      <c r="T49" s="117" t="n">
        <f aca="false">T46-IF(COLUMN()-COLUMN($B$49)&lt;$C$11,0,INDEX($B$46:$Y$46,1,COLUMN()-COLUMN($B$49)+1-$C$11))</f>
        <v>47451.9230769231</v>
      </c>
      <c r="U49" s="117" t="n">
        <f aca="false">U46-IF(COLUMN()-COLUMN($B$49)&lt;$C$11,0,INDEX($B$46:$Y$46,1,COLUMN()-COLUMN($B$49)+1-$C$11))</f>
        <v>26249.9999999999</v>
      </c>
      <c r="V49" s="117" t="n">
        <f aca="false">V46-IF(COLUMN()-COLUMN($B$49)&lt;$C$11,0,INDEX($B$46:$Y$46,1,COLUMN()-COLUMN($B$49)+1-$C$11))</f>
        <v>19182.6923076923</v>
      </c>
      <c r="W49" s="117" t="n">
        <f aca="false">W46-IF(COLUMN()-COLUMN($B$49)&lt;$C$11,0,INDEX($B$46:$Y$46,1,COLUMN()-COLUMN($B$49)+1-$C$11))</f>
        <v>19182.6923076924</v>
      </c>
      <c r="X49" s="117" t="n">
        <f aca="false">X46-IF(COLUMN()-COLUMN($B$49)&lt;$C$11,0,INDEX($B$46:$Y$46,1,COLUMN()-COLUMN($B$49)+1-$C$11))</f>
        <v>18173.076923077</v>
      </c>
      <c r="Y49" s="117" t="n">
        <f aca="false">Y46-IF(COLUMN()-COLUMN($B$49)&lt;$C$11,0,INDEX($B$46:$Y$46,1,COLUMN()-COLUMN($B$49)+1-$C$11))</f>
        <v>10096.1538461538</v>
      </c>
    </row>
    <row r="50" customFormat="false" ht="15" hidden="false" customHeight="false" outlineLevel="0" collapsed="false">
      <c r="A50" s="116" t="s">
        <v>341</v>
      </c>
      <c r="B50" s="117" t="n">
        <f aca="false">B47-IF(COLUMN()-COLUMN($B$50)&lt;$C$12,0,INDEX($B$47:$Y$47,1,COLUMN()-COLUMN($B$50)+1-$C$12))</f>
        <v>7788.46153846154</v>
      </c>
      <c r="C50" s="117" t="n">
        <f aca="false">C47-IF(COLUMN()-COLUMN($B$50)&lt;$C$12,0,INDEX($B$47:$Y$47,1,COLUMN()-COLUMN($B$50)+1-$C$12))</f>
        <v>1730.76923076923</v>
      </c>
      <c r="D50" s="117" t="n">
        <f aca="false">D47-IF(COLUMN()-COLUMN($B$50)&lt;$C$12,0,INDEX($B$47:$Y$47,1,COLUMN()-COLUMN($B$50)+1-$C$12))</f>
        <v>2091.34615384615</v>
      </c>
      <c r="E50" s="117" t="n">
        <f aca="false">E47-IF(COLUMN()-COLUMN($B$50)&lt;$C$12,0,INDEX($B$47:$Y$47,1,COLUMN()-COLUMN($B$50)+1-$C$12))</f>
        <v>1730.76923076923</v>
      </c>
      <c r="F50" s="117" t="n">
        <f aca="false">F47-IF(COLUMN()-COLUMN($B$50)&lt;$C$12,0,INDEX($B$47:$Y$47,1,COLUMN()-COLUMN($B$50)+1-$C$12))</f>
        <v>1730.76923076923</v>
      </c>
      <c r="G50" s="117" t="n">
        <f aca="false">G47-IF(COLUMN()-COLUMN($B$50)&lt;$C$12,0,INDEX($B$47:$Y$47,1,COLUMN()-COLUMN($B$50)+1-$C$12))</f>
        <v>2091.34615384616</v>
      </c>
      <c r="H50" s="117" t="n">
        <f aca="false">H47-IF(COLUMN()-COLUMN($B$50)&lt;$C$12,0,INDEX($B$47:$Y$47,1,COLUMN()-COLUMN($B$50)+1-$C$12))</f>
        <v>1730.76923076923</v>
      </c>
      <c r="I50" s="117" t="n">
        <f aca="false">I47-IF(COLUMN()-COLUMN($B$50)&lt;$C$12,0,INDEX($B$47:$Y$47,1,COLUMN()-COLUMN($B$50)+1-$C$12))</f>
        <v>1730.76923076923</v>
      </c>
      <c r="J50" s="117" t="n">
        <f aca="false">J47-IF(COLUMN()-COLUMN($B$50)&lt;$C$12,0,INDEX($B$47:$Y$47,1,COLUMN()-COLUMN($B$50)+1-$C$12))</f>
        <v>2091.34615384616</v>
      </c>
      <c r="K50" s="117" t="n">
        <f aca="false">K47-IF(COLUMN()-COLUMN($B$50)&lt;$C$12,0,INDEX($B$47:$Y$47,1,COLUMN()-COLUMN($B$50)+1-$C$12))</f>
        <v>1730.76923076923</v>
      </c>
      <c r="L50" s="117" t="n">
        <f aca="false">L47-IF(COLUMN()-COLUMN($B$50)&lt;$C$12,0,INDEX($B$47:$Y$47,1,COLUMN()-COLUMN($B$50)+1-$C$12))</f>
        <v>1730.76923076923</v>
      </c>
      <c r="M50" s="117" t="n">
        <f aca="false">M47-IF(COLUMN()-COLUMN($B$50)&lt;$C$12,0,INDEX($B$47:$Y$47,1,COLUMN()-COLUMN($B$50)+1-$C$12))</f>
        <v>2091.34615384615</v>
      </c>
      <c r="N50" s="117" t="n">
        <f aca="false">N47-IF(COLUMN()-COLUMN($B$50)&lt;$C$12,0,INDEX($B$47:$Y$47,1,COLUMN()-COLUMN($B$50)+1-$C$12))</f>
        <v>1730.76923076923</v>
      </c>
      <c r="O50" s="117" t="n">
        <f aca="false">O47-IF(COLUMN()-COLUMN($B$50)&lt;$C$12,0,INDEX($B$47:$Y$47,1,COLUMN()-COLUMN($B$50)+1-$C$12))</f>
        <v>2091.34615384616</v>
      </c>
      <c r="P50" s="117" t="n">
        <f aca="false">P47-IF(COLUMN()-COLUMN($B$50)&lt;$C$12,0,INDEX($B$47:$Y$47,1,COLUMN()-COLUMN($B$50)+1-$C$12))</f>
        <v>1730.76923076923</v>
      </c>
      <c r="Q50" s="117" t="n">
        <f aca="false">Q47-IF(COLUMN()-COLUMN($B$50)&lt;$C$12,0,INDEX($B$47:$Y$47,1,COLUMN()-COLUMN($B$50)+1-$C$12))</f>
        <v>1730.76923076923</v>
      </c>
      <c r="R50" s="117" t="n">
        <f aca="false">R47-IF(COLUMN()-COLUMN($B$50)&lt;$C$12,0,INDEX($B$47:$Y$47,1,COLUMN()-COLUMN($B$50)+1-$C$12))</f>
        <v>2091.34615384616</v>
      </c>
      <c r="S50" s="117" t="n">
        <f aca="false">S47-IF(COLUMN()-COLUMN($B$50)&lt;$C$12,0,INDEX($B$47:$Y$47,1,COLUMN()-COLUMN($B$50)+1-$C$12))</f>
        <v>1730.76923076923</v>
      </c>
      <c r="T50" s="117" t="n">
        <f aca="false">T47-IF(COLUMN()-COLUMN($B$50)&lt;$C$12,0,INDEX($B$47:$Y$47,1,COLUMN()-COLUMN($B$50)+1-$C$12))</f>
        <v>1730.76923076923</v>
      </c>
      <c r="U50" s="117" t="n">
        <f aca="false">U47-IF(COLUMN()-COLUMN($B$50)&lt;$C$12,0,INDEX($B$47:$Y$47,1,COLUMN()-COLUMN($B$50)+1-$C$12))</f>
        <v>2091.34615384616</v>
      </c>
      <c r="V50" s="117" t="n">
        <f aca="false">V47-IF(COLUMN()-COLUMN($B$50)&lt;$C$12,0,INDEX($B$47:$Y$47,1,COLUMN()-COLUMN($B$50)+1-$C$12))</f>
        <v>1730.76923076923</v>
      </c>
      <c r="W50" s="117" t="n">
        <f aca="false">W47-IF(COLUMN()-COLUMN($B$50)&lt;$C$12,0,INDEX($B$47:$Y$47,1,COLUMN()-COLUMN($B$50)+1-$C$12))</f>
        <v>1730.76923076923</v>
      </c>
      <c r="X50" s="117" t="n">
        <f aca="false">X47-IF(COLUMN()-COLUMN($B$50)&lt;$C$12,0,INDEX($B$47:$Y$47,1,COLUMN()-COLUMN($B$50)+1-$C$12))</f>
        <v>2091.34615384616</v>
      </c>
      <c r="Y50" s="117" t="n">
        <f aca="false">Y47-IF(COLUMN()-COLUMN($B$50)&lt;$C$12,0,INDEX($B$47:$Y$47,1,COLUMN()-COLUMN($B$50)+1-$C$12))</f>
        <v>1730.76923076923</v>
      </c>
    </row>
    <row r="51" customFormat="false" ht="15" hidden="false" customHeight="false" outlineLevel="0" collapsed="false">
      <c r="A51" s="116" t="s">
        <v>309</v>
      </c>
      <c r="B51" s="117" t="n">
        <f aca="false">Assumptions!$B$5+B48-B49-B50-Assumptions!$B$31-Assumptions!$B$32/12</f>
        <v>914334.67948718</v>
      </c>
      <c r="C51" s="117" t="n">
        <f aca="false">B51+C48-C49-C50-Assumptions!$B$32/12</f>
        <v>858005.897435898</v>
      </c>
      <c r="D51" s="117" t="n">
        <f aca="false">C51+D48-D49-D50-Assumptions!$B$32/12</f>
        <v>802786.490384616</v>
      </c>
      <c r="E51" s="117" t="n">
        <f aca="false">D51+E48-E49-E50-Assumptions!$B$32/12</f>
        <v>750754.583333334</v>
      </c>
      <c r="F51" s="117" t="n">
        <f aca="false">E51+F48-F49-F50-Assumptions!$B$32/12</f>
        <v>702049.599358975</v>
      </c>
      <c r="G51" s="117" t="n">
        <f aca="false">F51+G48-G49-G50-Assumptions!$B$32/12</f>
        <v>655982.836538462</v>
      </c>
      <c r="H51" s="117" t="n">
        <f aca="false">G51+H48-H49-H50-Assumptions!$B$32/12</f>
        <v>605293.573717949</v>
      </c>
      <c r="I51" s="117" t="n">
        <f aca="false">H51+I48-I49-I50-Assumptions!$B$32/12</f>
        <v>551460.080128206</v>
      </c>
      <c r="J51" s="117" t="n">
        <f aca="false">I51+J48-J49-J50-Assumptions!$B$32/12</f>
        <v>503870.576923078</v>
      </c>
      <c r="K51" s="117" t="n">
        <f aca="false">J51+K48-K49-K50-Assumptions!$B$32/12</f>
        <v>467151.266025643</v>
      </c>
      <c r="L51" s="117" t="n">
        <f aca="false">K51+L48-L49-L50-Assumptions!$B$32/12</f>
        <v>439931.955128208</v>
      </c>
      <c r="M51" s="117" t="n">
        <f aca="false">L51+M48-M49-M50-Assumptions!$B$32/12</f>
        <v>420572.019230773</v>
      </c>
      <c r="N51" s="117" t="n">
        <f aca="false">M51+N48-N49-N50</f>
        <v>412797.019230773</v>
      </c>
      <c r="O51" s="117" t="n">
        <f aca="false">N51+O48-O49-O50</f>
        <v>429025.625000005</v>
      </c>
      <c r="P51" s="117" t="n">
        <f aca="false">O51+P48-P49-P50</f>
        <v>471835.961538468</v>
      </c>
      <c r="Q51" s="117" t="n">
        <f aca="false">P51+Q48-Q49-Q50</f>
        <v>536828.990384623</v>
      </c>
      <c r="R51" s="117" t="n">
        <f aca="false">Q51+R48-R49-R50</f>
        <v>627306.394230779</v>
      </c>
      <c r="S51" s="117" t="n">
        <f aca="false">R51+S48-S49-S50</f>
        <v>746327.067307703</v>
      </c>
      <c r="T51" s="117" t="n">
        <f aca="false">S51+T48-T49-T50</f>
        <v>892963.125000013</v>
      </c>
      <c r="U51" s="117" t="n">
        <f aca="false">T51+U48-U49-U50</f>
        <v>1065968.17307694</v>
      </c>
      <c r="V51" s="117" t="n">
        <f aca="false">U51+V48-V49-V50</f>
        <v>1252276.10576925</v>
      </c>
      <c r="W51" s="117" t="n">
        <f aca="false">V51+W48-W49-W50</f>
        <v>1443949.42307694</v>
      </c>
      <c r="X51" s="117" t="n">
        <f aca="false">W51+X48-X49-X50</f>
        <v>1641799.42307694</v>
      </c>
      <c r="Y51" s="117" t="n">
        <f aca="false">X51+Y48-Y49-Y50</f>
        <v>1849375.38461541</v>
      </c>
    </row>
    <row r="52" customFormat="false" ht="15" hidden="false" customHeight="false" outlineLevel="0" collapsed="false">
      <c r="A52" s="118" t="s">
        <v>342</v>
      </c>
      <c r="B52" s="119" t="n">
        <f aca="false">IF(B48&gt;=0,1,999)</f>
        <v>999</v>
      </c>
      <c r="C52" s="119" t="n">
        <f aca="false">IF(C48&gt;=0,2,999)</f>
        <v>999</v>
      </c>
      <c r="D52" s="119" t="n">
        <f aca="false">IF(D48&gt;=0,3,999)</f>
        <v>999</v>
      </c>
      <c r="E52" s="119" t="n">
        <f aca="false">IF(E48&gt;=0,4,999)</f>
        <v>999</v>
      </c>
      <c r="F52" s="119" t="n">
        <f aca="false">IF(F48&gt;=0,5,999)</f>
        <v>999</v>
      </c>
      <c r="G52" s="119" t="n">
        <f aca="false">IF(G48&gt;=0,6,999)</f>
        <v>999</v>
      </c>
      <c r="H52" s="119" t="n">
        <f aca="false">IF(H48&gt;=0,7,999)</f>
        <v>999</v>
      </c>
      <c r="I52" s="119" t="n">
        <f aca="false">IF(I48&gt;=0,8,999)</f>
        <v>999</v>
      </c>
      <c r="J52" s="119" t="n">
        <f aca="false">IF(J48&gt;=0,9,999)</f>
        <v>9</v>
      </c>
      <c r="K52" s="119" t="n">
        <f aca="false">IF(K48&gt;=0,10,999)</f>
        <v>10</v>
      </c>
      <c r="L52" s="119" t="n">
        <f aca="false">IF(L48&gt;=0,11,999)</f>
        <v>11</v>
      </c>
      <c r="M52" s="119" t="n">
        <f aca="false">IF(M48&gt;=0,12,999)</f>
        <v>12</v>
      </c>
      <c r="N52" s="119" t="n">
        <f aca="false">IF(N48&gt;=0,13,999)</f>
        <v>13</v>
      </c>
      <c r="O52" s="119" t="n">
        <f aca="false">IF(O48&gt;=0,14,999)</f>
        <v>14</v>
      </c>
      <c r="P52" s="119" t="n">
        <f aca="false">IF(P48&gt;=0,15,999)</f>
        <v>15</v>
      </c>
      <c r="Q52" s="119" t="n">
        <f aca="false">IF(Q48&gt;=0,16,999)</f>
        <v>16</v>
      </c>
      <c r="R52" s="119" t="n">
        <f aca="false">IF(R48&gt;=0,17,999)</f>
        <v>17</v>
      </c>
      <c r="S52" s="119" t="n">
        <f aca="false">IF(S48&gt;=0,18,999)</f>
        <v>18</v>
      </c>
      <c r="T52" s="119" t="n">
        <f aca="false">IF(T48&gt;=0,19,999)</f>
        <v>19</v>
      </c>
      <c r="U52" s="119" t="n">
        <f aca="false">IF(U48&gt;=0,20,999)</f>
        <v>20</v>
      </c>
      <c r="V52" s="119" t="n">
        <f aca="false">IF(V48&gt;=0,21,999)</f>
        <v>21</v>
      </c>
      <c r="W52" s="119" t="n">
        <f aca="false">IF(W48&gt;=0,22,999)</f>
        <v>22</v>
      </c>
      <c r="X52" s="119" t="n">
        <f aca="false">IF(X48&gt;=0,23,999)</f>
        <v>23</v>
      </c>
      <c r="Y52" s="119" t="n">
        <f aca="false">IF(Y48&gt;=0,24,999)</f>
        <v>24</v>
      </c>
    </row>
    <row r="55" customFormat="false" ht="15" hidden="false" customHeight="false" outlineLevel="0" collapsed="false">
      <c r="A55" s="113" t="s">
        <v>344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</row>
    <row r="56" customFormat="false" ht="15" hidden="false" customHeight="false" outlineLevel="0" collapsed="false">
      <c r="A56" s="10" t="s">
        <v>150</v>
      </c>
      <c r="B56" s="11" t="str">
        <f aca="false">'Monthly P&amp;L'!B3</f>
        <v>Jul-26</v>
      </c>
      <c r="C56" s="11" t="str">
        <f aca="false">'Monthly P&amp;L'!C3</f>
        <v>Aug-26</v>
      </c>
      <c r="D56" s="11" t="str">
        <f aca="false">'Monthly P&amp;L'!D3</f>
        <v>Sep-26</v>
      </c>
      <c r="E56" s="11" t="str">
        <f aca="false">'Monthly P&amp;L'!E3</f>
        <v>Oct-26</v>
      </c>
      <c r="F56" s="11" t="str">
        <f aca="false">'Monthly P&amp;L'!F3</f>
        <v>Nov-26</v>
      </c>
      <c r="G56" s="11" t="str">
        <f aca="false">'Monthly P&amp;L'!G3</f>
        <v>Dec-26</v>
      </c>
      <c r="H56" s="11" t="str">
        <f aca="false">'Monthly P&amp;L'!H3</f>
        <v>Jan-27</v>
      </c>
      <c r="I56" s="11" t="str">
        <f aca="false">'Monthly P&amp;L'!I3</f>
        <v>Feb-27</v>
      </c>
      <c r="J56" s="11" t="str">
        <f aca="false">'Monthly P&amp;L'!J3</f>
        <v>Mar-27</v>
      </c>
      <c r="K56" s="11" t="str">
        <f aca="false">'Monthly P&amp;L'!K3</f>
        <v>Apr-27</v>
      </c>
      <c r="L56" s="11" t="str">
        <f aca="false">'Monthly P&amp;L'!L3</f>
        <v>May-27</v>
      </c>
      <c r="M56" s="11" t="str">
        <f aca="false">'Monthly P&amp;L'!M3</f>
        <v>Jun-27</v>
      </c>
      <c r="N56" s="11" t="str">
        <f aca="false">'Monthly P&amp;L'!N3</f>
        <v>Jul-27</v>
      </c>
      <c r="O56" s="11" t="str">
        <f aca="false">'Monthly P&amp;L'!O3</f>
        <v>Aug-27</v>
      </c>
      <c r="P56" s="11" t="str">
        <f aca="false">'Monthly P&amp;L'!P3</f>
        <v>Sep-27</v>
      </c>
      <c r="Q56" s="11" t="str">
        <f aca="false">'Monthly P&amp;L'!Q3</f>
        <v>Oct-27</v>
      </c>
      <c r="R56" s="11" t="str">
        <f aca="false">'Monthly P&amp;L'!R3</f>
        <v>Nov-27</v>
      </c>
      <c r="S56" s="11" t="str">
        <f aca="false">'Monthly P&amp;L'!S3</f>
        <v>Dec-27</v>
      </c>
      <c r="T56" s="11" t="str">
        <f aca="false">'Monthly P&amp;L'!T3</f>
        <v>Jan-28</v>
      </c>
      <c r="U56" s="11" t="str">
        <f aca="false">'Monthly P&amp;L'!U3</f>
        <v>Feb-28</v>
      </c>
      <c r="V56" s="11" t="str">
        <f aca="false">'Monthly P&amp;L'!V3</f>
        <v>Mar-28</v>
      </c>
      <c r="W56" s="11" t="str">
        <f aca="false">'Monthly P&amp;L'!W3</f>
        <v>Apr-28</v>
      </c>
      <c r="X56" s="11" t="str">
        <f aca="false">'Monthly P&amp;L'!X3</f>
        <v>May-28</v>
      </c>
      <c r="Y56" s="12" t="str">
        <f aca="false">'Monthly P&amp;L'!Y3</f>
        <v>Jun-28</v>
      </c>
    </row>
    <row r="57" customFormat="false" ht="15" hidden="false" customHeight="false" outlineLevel="0" collapsed="false">
      <c r="A57" s="114" t="s">
        <v>182</v>
      </c>
      <c r="B57" s="115" t="n">
        <f aca="false">'Monthly P&amp;L'!B5*$D$5*((1-$D$7)*Assumptions!$B$47+$D$7*(Assumptions!$B$55*Assumptions!$B$15))/Assumptions!$B$10</f>
        <v>5048.07692307692</v>
      </c>
      <c r="C57" s="115" t="n">
        <f aca="false">'Monthly P&amp;L'!C5*$D$5*((1-$D$7)*Assumptions!$B$47+$D$7*(Assumptions!$B$55*Assumptions!$B$15))/Assumptions!$B$10</f>
        <v>13461.5384615385</v>
      </c>
      <c r="D57" s="115" t="n">
        <f aca="false">'Monthly P&amp;L'!D5*$D$5*((1-$D$7)*Assumptions!$B$47+$D$7*(Assumptions!$B$55*Assumptions!$B$15))/Assumptions!$B$10</f>
        <v>21875</v>
      </c>
      <c r="E57" s="115" t="n">
        <f aca="false">'Monthly P&amp;L'!E5*$D$5*((1-$D$7)*Assumptions!$B$47+$D$7*(Assumptions!$B$55*Assumptions!$B$15))/Assumptions!$B$10</f>
        <v>31971.1538461538</v>
      </c>
      <c r="F57" s="115" t="n">
        <f aca="false">'Monthly P&amp;L'!F5*$D$5*((1-$D$7)*Assumptions!$B$47+$D$7*(Assumptions!$B$55*Assumptions!$B$15))/Assumptions!$B$10</f>
        <v>40384.6153846154</v>
      </c>
      <c r="G57" s="115" t="n">
        <f aca="false">'Monthly P&amp;L'!G5*$D$5*((1-$D$7)*Assumptions!$B$47+$D$7*(Assumptions!$B$55*Assumptions!$B$15))/Assumptions!$B$10</f>
        <v>53846.1538461538</v>
      </c>
      <c r="H57" s="115" t="n">
        <f aca="false">'Monthly P&amp;L'!H5*$D$5*((1-$D$7)*Assumptions!$B$47+$D$7*(Assumptions!$B$55*Assumptions!$B$15))/Assumptions!$B$10</f>
        <v>82451.9230769231</v>
      </c>
      <c r="I57" s="115" t="n">
        <f aca="false">'Monthly P&amp;L'!I5*$D$5*((1-$D$7)*Assumptions!$B$47+$D$7*(Assumptions!$B$55*Assumptions!$B$15))/Assumptions!$B$10</f>
        <v>122836.538461538</v>
      </c>
      <c r="J57" s="115" t="n">
        <f aca="false">'Monthly P&amp;L'!J5*$D$5*((1-$D$7)*Assumptions!$B$47+$D$7*(Assumptions!$B$55*Assumptions!$B$15))/Assumptions!$B$10</f>
        <v>161538.461538462</v>
      </c>
      <c r="K57" s="115" t="n">
        <f aca="false">'Monthly P&amp;L'!K5*$D$5*((1-$D$7)*Assumptions!$B$47+$D$7*(Assumptions!$B$55*Assumptions!$B$15))/Assumptions!$B$10</f>
        <v>210336.538461538</v>
      </c>
      <c r="L57" s="115" t="n">
        <f aca="false">'Monthly P&amp;L'!L5*$D$5*((1-$D$7)*Assumptions!$B$47+$D$7*(Assumptions!$B$55*Assumptions!$B$15))/Assumptions!$B$10</f>
        <v>259134.615384615</v>
      </c>
      <c r="M57" s="115" t="n">
        <f aca="false">'Monthly P&amp;L'!M5*$D$5*((1-$D$7)*Assumptions!$B$47+$D$7*(Assumptions!$B$55*Assumptions!$B$15))/Assumptions!$B$10</f>
        <v>333173.076923077</v>
      </c>
      <c r="N57" s="115" t="n">
        <f aca="false">'Monthly P&amp;L'!N5*$D$5*((1-$D$7)*Assumptions!$B$47+$D$7*(Assumptions!$B$55*Assumptions!$B$15))/Assumptions!$B$10</f>
        <v>410576.923076923</v>
      </c>
      <c r="O57" s="115" t="n">
        <f aca="false">'Monthly P&amp;L'!O5*$D$5*((1-$D$7)*Assumptions!$B$47+$D$7*(Assumptions!$B$55*Assumptions!$B$15))/Assumptions!$B$10</f>
        <v>481250</v>
      </c>
      <c r="P57" s="115" t="n">
        <f aca="false">'Monthly P&amp;L'!P5*$D$5*((1-$D$7)*Assumptions!$B$47+$D$7*(Assumptions!$B$55*Assumptions!$B$15))/Assumptions!$B$10</f>
        <v>551923.076923077</v>
      </c>
      <c r="Q57" s="115" t="n">
        <f aca="false">'Monthly P&amp;L'!Q5*$D$5*((1-$D$7)*Assumptions!$B$47+$D$7*(Assumptions!$B$55*Assumptions!$B$15))/Assumptions!$B$10</f>
        <v>622596.153846154</v>
      </c>
      <c r="R57" s="115" t="n">
        <f aca="false">'Monthly P&amp;L'!R5*$D$5*((1-$D$7)*Assumptions!$B$47+$D$7*(Assumptions!$B$55*Assumptions!$B$15))/Assumptions!$B$10</f>
        <v>681490.384615385</v>
      </c>
      <c r="S57" s="115" t="n">
        <f aca="false">'Monthly P&amp;L'!S5*$D$5*((1-$D$7)*Assumptions!$B$47+$D$7*(Assumptions!$B$55*Assumptions!$B$15))/Assumptions!$B$10</f>
        <v>731971.153846154</v>
      </c>
      <c r="T57" s="115" t="n">
        <f aca="false">'Monthly P&amp;L'!T5*$D$5*((1-$D$7)*Assumptions!$B$47+$D$7*(Assumptions!$B$55*Assumptions!$B$15))/Assumptions!$B$10</f>
        <v>760576.923076923</v>
      </c>
      <c r="U57" s="115" t="n">
        <f aca="false">'Monthly P&amp;L'!U5*$D$5*((1-$D$7)*Assumptions!$B$47+$D$7*(Assumptions!$B$55*Assumptions!$B$15))/Assumptions!$B$10</f>
        <v>775721.153846154</v>
      </c>
      <c r="V57" s="115" t="n">
        <f aca="false">'Monthly P&amp;L'!V5*$D$5*((1-$D$7)*Assumptions!$B$47+$D$7*(Assumptions!$B$55*Assumptions!$B$15))/Assumptions!$B$10</f>
        <v>792548.076923077</v>
      </c>
      <c r="W57" s="115" t="n">
        <f aca="false">'Monthly P&amp;L'!W5*$D$5*((1-$D$7)*Assumptions!$B$47+$D$7*(Assumptions!$B$55*Assumptions!$B$15))/Assumptions!$B$10</f>
        <v>807692.307692308</v>
      </c>
      <c r="X57" s="115" t="n">
        <f aca="false">'Monthly P&amp;L'!X5*$D$5*((1-$D$7)*Assumptions!$B$47+$D$7*(Assumptions!$B$55*Assumptions!$B$15))/Assumptions!$B$10</f>
        <v>822836.538461538</v>
      </c>
      <c r="Y57" s="115" t="n">
        <f aca="false">'Monthly P&amp;L'!Y5*$D$5*((1-$D$7)*Assumptions!$B$47+$D$7*(Assumptions!$B$55*Assumptions!$B$15))/Assumptions!$B$10</f>
        <v>824519.230769231</v>
      </c>
    </row>
    <row r="58" customFormat="false" ht="15" hidden="false" customHeight="false" outlineLevel="0" collapsed="false">
      <c r="A58" s="116" t="s">
        <v>183</v>
      </c>
      <c r="B58" s="117" t="n">
        <f aca="false">'Monthly P&amp;L'!B10*$D$6</f>
        <v>10384.6153846154</v>
      </c>
      <c r="C58" s="117" t="n">
        <f aca="false">'Monthly P&amp;L'!C10*$D$6</f>
        <v>12692.3076923077</v>
      </c>
      <c r="D58" s="117" t="n">
        <f aca="false">'Monthly P&amp;L'!D10*$D$6</f>
        <v>15480.7692307692</v>
      </c>
      <c r="E58" s="117" t="n">
        <f aca="false">'Monthly P&amp;L'!E10*$D$6</f>
        <v>17788.4615384615</v>
      </c>
      <c r="F58" s="117" t="n">
        <f aca="false">'Monthly P&amp;L'!F10*$D$6</f>
        <v>20096.1538461538</v>
      </c>
      <c r="G58" s="117" t="n">
        <f aca="false">'Monthly P&amp;L'!G10*$D$6</f>
        <v>22884.6153846154</v>
      </c>
      <c r="H58" s="117" t="n">
        <f aca="false">'Monthly P&amp;L'!H10*$D$6</f>
        <v>25192.3076923077</v>
      </c>
      <c r="I58" s="117" t="n">
        <f aca="false">'Monthly P&amp;L'!I10*$D$6</f>
        <v>27500</v>
      </c>
      <c r="J58" s="117" t="n">
        <f aca="false">'Monthly P&amp;L'!J10*$D$6</f>
        <v>30288.4615384615</v>
      </c>
      <c r="K58" s="117" t="n">
        <f aca="false">'Monthly P&amp;L'!K10*$D$6</f>
        <v>32596.1538461538</v>
      </c>
      <c r="L58" s="117" t="n">
        <f aca="false">'Monthly P&amp;L'!L10*$D$6</f>
        <v>34903.8461538462</v>
      </c>
      <c r="M58" s="117" t="n">
        <f aca="false">'Monthly P&amp;L'!M10*$D$6</f>
        <v>37692.3076923077</v>
      </c>
      <c r="N58" s="117" t="n">
        <f aca="false">'Monthly P&amp;L'!N10*$D$6</f>
        <v>40000</v>
      </c>
      <c r="O58" s="117" t="n">
        <f aca="false">'Monthly P&amp;L'!O10*$D$6</f>
        <v>42788.4615384615</v>
      </c>
      <c r="P58" s="117" t="n">
        <f aca="false">'Monthly P&amp;L'!P10*$D$6</f>
        <v>45096.1538461538</v>
      </c>
      <c r="Q58" s="117" t="n">
        <f aca="false">'Monthly P&amp;L'!Q10*$D$6</f>
        <v>47403.8461538462</v>
      </c>
      <c r="R58" s="117" t="n">
        <f aca="false">'Monthly P&amp;L'!R10*$D$6</f>
        <v>50192.3076923077</v>
      </c>
      <c r="S58" s="117" t="n">
        <f aca="false">'Monthly P&amp;L'!S10*$D$6</f>
        <v>52500</v>
      </c>
      <c r="T58" s="117" t="n">
        <f aca="false">'Monthly P&amp;L'!T10*$D$6</f>
        <v>54807.6923076923</v>
      </c>
      <c r="U58" s="117" t="n">
        <f aca="false">'Monthly P&amp;L'!U10*$D$6</f>
        <v>57596.1538461538</v>
      </c>
      <c r="V58" s="117" t="n">
        <f aca="false">'Monthly P&amp;L'!V10*$D$6</f>
        <v>59903.8461538462</v>
      </c>
      <c r="W58" s="117" t="n">
        <f aca="false">'Monthly P&amp;L'!W10*$D$6</f>
        <v>62211.5384615385</v>
      </c>
      <c r="X58" s="117" t="n">
        <f aca="false">'Monthly P&amp;L'!X10*$D$6</f>
        <v>65000</v>
      </c>
      <c r="Y58" s="117" t="n">
        <f aca="false">'Monthly P&amp;L'!Y10*$D$6</f>
        <v>67307.6923076923</v>
      </c>
    </row>
    <row r="59" customFormat="false" ht="15" hidden="false" customHeight="false" outlineLevel="0" collapsed="false">
      <c r="A59" s="116" t="s">
        <v>189</v>
      </c>
      <c r="B59" s="117" t="n">
        <f aca="false">'Monthly P&amp;L'!B5*$D$5*((1-$D$7)*(Assumptions!$B$47-Assumptions!$B$43*$D$8-Assumptions!$B$44-Assumptions!$B$45)+$D$7*Assumptions!$B$57)/Assumptions!$B$10+B58*$D$13-'Monthly P&amp;L'!B15*$D$9</f>
        <v>-40934.6153846154</v>
      </c>
      <c r="C59" s="117" t="n">
        <f aca="false">'Monthly P&amp;L'!C5*$D$5*((1-$D$7)*(Assumptions!$B$47-Assumptions!$B$43*$D$8-Assumptions!$B$44-Assumptions!$B$45)+$D$7*Assumptions!$B$57)/Assumptions!$B$10+C58*$D$13-'Monthly P&amp;L'!C15*$D$9</f>
        <v>-35408.9743589743</v>
      </c>
      <c r="D59" s="117" t="n">
        <f aca="false">'Monthly P&amp;L'!D5*$D$5*((1-$D$7)*(Assumptions!$B$47-Assumptions!$B$43*$D$8-Assumptions!$B$44-Assumptions!$B$45)+$D$7*Assumptions!$B$57)/Assumptions!$B$10+D58*$D$13-'Monthly P&amp;L'!D15*$D$9</f>
        <v>-29666.9871794871</v>
      </c>
      <c r="E59" s="117" t="n">
        <f aca="false">'Monthly P&amp;L'!E5*$D$5*((1-$D$7)*(Assumptions!$B$47-Assumptions!$B$43*$D$8-Assumptions!$B$44-Assumptions!$B$45)+$D$7*Assumptions!$B$57)/Assumptions!$B$10+E58*$D$13-'Monthly P&amp;L'!E15*$D$9</f>
        <v>-23243.9102564101</v>
      </c>
      <c r="F59" s="117" t="n">
        <f aca="false">'Monthly P&amp;L'!F5*$D$5*((1-$D$7)*(Assumptions!$B$47-Assumptions!$B$43*$D$8-Assumptions!$B$44-Assumptions!$B$45)+$D$7*Assumptions!$B$57)/Assumptions!$B$10+F58*$D$13-'Monthly P&amp;L'!F15*$D$9</f>
        <v>-17718.2692307691</v>
      </c>
      <c r="G59" s="117" t="n">
        <f aca="false">'Monthly P&amp;L'!G5*$D$5*((1-$D$7)*(Assumptions!$B$47-Assumptions!$B$43*$D$8-Assumptions!$B$44-Assumptions!$B$45)+$D$7*Assumptions!$B$57)/Assumptions!$B$10+G58*$D$13-'Monthly P&amp;L'!G15*$D$9</f>
        <v>-9283.97435897416</v>
      </c>
      <c r="H59" s="117" t="n">
        <f aca="false">'Monthly P&amp;L'!H5*$D$5*((1-$D$7)*(Assumptions!$B$47-Assumptions!$B$43*$D$8-Assumptions!$B$44-Assumptions!$B$45)+$D$7*Assumptions!$B$57)/Assumptions!$B$10+H58*$D$13-'Monthly P&amp;L'!H15*$D$9</f>
        <v>4810.89743589774</v>
      </c>
      <c r="I59" s="117" t="n">
        <f aca="false">'Monthly P&amp;L'!I5*$D$5*((1-$D$7)*(Assumptions!$B$47-Assumptions!$B$43*$D$8-Assumptions!$B$44-Assumptions!$B$45)+$D$7*Assumptions!$B$57)/Assumptions!$B$10+I58*$D$13-'Monthly P&amp;L'!I15*$D$9</f>
        <v>27387.820512821</v>
      </c>
      <c r="J59" s="117" t="n">
        <f aca="false">'Monthly P&amp;L'!J5*$D$5*((1-$D$7)*(Assumptions!$B$47-Assumptions!$B$43*$D$8-Assumptions!$B$44-Assumptions!$B$45)+$D$7*Assumptions!$B$57)/Assumptions!$B$10+J58*$D$13-'Monthly P&amp;L'!J15*$D$9</f>
        <v>49283.6538461544</v>
      </c>
      <c r="K59" s="117" t="n">
        <f aca="false">'Monthly P&amp;L'!K5*$D$5*((1-$D$7)*(Assumptions!$B$47-Assumptions!$B$43*$D$8-Assumptions!$B$44-Assumptions!$B$45)+$D$7*Assumptions!$B$57)/Assumptions!$B$10+K58*$D$13-'Monthly P&amp;L'!K15*$D$9</f>
        <v>76347.7564102572</v>
      </c>
      <c r="L59" s="117" t="n">
        <f aca="false">'Monthly P&amp;L'!L5*$D$5*((1-$D$7)*(Assumptions!$B$47-Assumptions!$B$43*$D$8-Assumptions!$B$44-Assumptions!$B$45)+$D$7*Assumptions!$B$57)/Assumptions!$B$10+L58*$D$13-'Monthly P&amp;L'!L15*$D$9</f>
        <v>103411.85897436</v>
      </c>
      <c r="M59" s="117" t="n">
        <f aca="false">'Monthly P&amp;L'!M5*$D$5*((1-$D$7)*(Assumptions!$B$47-Assumptions!$B$43*$D$8-Assumptions!$B$44-Assumptions!$B$45)+$D$7*Assumptions!$B$57)/Assumptions!$B$10+M58*$D$13-'Monthly P&amp;L'!M15*$D$9</f>
        <v>144153.846153847</v>
      </c>
      <c r="N59" s="117" t="n">
        <f aca="false">'Monthly P&amp;L'!N5*$D$5*((1-$D$7)*(Assumptions!$B$47-Assumptions!$B$43*$D$8-Assumptions!$B$44-Assumptions!$B$45)+$D$7*Assumptions!$B$57)/Assumptions!$B$10+N58*$D$13-'Monthly P&amp;L'!N15*$D$9</f>
        <v>186474.358974361</v>
      </c>
      <c r="O59" s="117" t="n">
        <f aca="false">'Monthly P&amp;L'!O5*$D$5*((1-$D$7)*(Assumptions!$B$47-Assumptions!$B$43*$D$8-Assumptions!$B$44-Assumptions!$B$45)+$D$7*Assumptions!$B$57)/Assumptions!$B$10+O58*$D$13-'Monthly P&amp;L'!O15*$D$9</f>
        <v>225421.474358976</v>
      </c>
      <c r="P59" s="117" t="n">
        <f aca="false">'Monthly P&amp;L'!P5*$D$5*((1-$D$7)*(Assumptions!$B$47-Assumptions!$B$43*$D$8-Assumptions!$B$44-Assumptions!$B$45)+$D$7*Assumptions!$B$57)/Assumptions!$B$10+P58*$D$13-'Monthly P&amp;L'!P15*$D$9</f>
        <v>264152.243589746</v>
      </c>
      <c r="Q59" s="117" t="n">
        <f aca="false">'Monthly P&amp;L'!Q5*$D$5*((1-$D$7)*(Assumptions!$B$47-Assumptions!$B$43*$D$8-Assumptions!$B$44-Assumptions!$B$45)+$D$7*Assumptions!$B$57)/Assumptions!$B$10+Q58*$D$13-'Monthly P&amp;L'!Q15*$D$9</f>
        <v>302883.012820515</v>
      </c>
      <c r="R59" s="117" t="n">
        <f aca="false">'Monthly P&amp;L'!R5*$D$5*((1-$D$7)*(Assumptions!$B$47-Assumptions!$B$43*$D$8-Assumptions!$B$44-Assumptions!$B$45)+$D$7*Assumptions!$B$57)/Assumptions!$B$10+R58*$D$13-'Monthly P&amp;L'!R15*$D$9</f>
        <v>335548.076923079</v>
      </c>
      <c r="S59" s="117" t="n">
        <f aca="false">'Monthly P&amp;L'!S5*$D$5*((1-$D$7)*(Assumptions!$B$47-Assumptions!$B$43*$D$8-Assumptions!$B$44-Assumptions!$B$45)+$D$7*Assumptions!$B$57)/Assumptions!$B$10+S58*$D$13-'Monthly P&amp;L'!S15*$D$9</f>
        <v>363509.615384618</v>
      </c>
      <c r="T59" s="117" t="n">
        <f aca="false">'Monthly P&amp;L'!T5*$D$5*((1-$D$7)*(Assumptions!$B$47-Assumptions!$B$43*$D$8-Assumptions!$B$44-Assumptions!$B$45)+$D$7*Assumptions!$B$57)/Assumptions!$B$10+T58*$D$13-'Monthly P&amp;L'!T15*$D$9</f>
        <v>379804.48717949</v>
      </c>
      <c r="U59" s="117" t="n">
        <f aca="false">'Monthly P&amp;L'!U5*$D$5*((1-$D$7)*(Assumptions!$B$47-Assumptions!$B$43*$D$8-Assumptions!$B$44-Assumptions!$B$45)+$D$7*Assumptions!$B$57)/Assumptions!$B$10+U58*$D$13-'Monthly P&amp;L'!U15*$D$9</f>
        <v>389136.217948721</v>
      </c>
      <c r="V59" s="117" t="n">
        <f aca="false">'Monthly P&amp;L'!V5*$D$5*((1-$D$7)*(Assumptions!$B$47-Assumptions!$B$43*$D$8-Assumptions!$B$44-Assumptions!$B$45)+$D$7*Assumptions!$B$57)/Assumptions!$B$10+V58*$D$13-'Monthly P&amp;L'!V15*$D$9</f>
        <v>399149.038461541</v>
      </c>
      <c r="W59" s="117" t="n">
        <f aca="false">'Monthly P&amp;L'!W5*$D$5*((1-$D$7)*(Assumptions!$B$47-Assumptions!$B$43*$D$8-Assumptions!$B$44-Assumptions!$B$45)+$D$7*Assumptions!$B$57)/Assumptions!$B$10+W58*$D$13-'Monthly P&amp;L'!W15*$D$9</f>
        <v>408264.423076926</v>
      </c>
      <c r="X59" s="117" t="n">
        <f aca="false">'Monthly P&amp;L'!X5*$D$5*((1-$D$7)*(Assumptions!$B$47-Assumptions!$B$43*$D$8-Assumptions!$B$44-Assumptions!$B$45)+$D$7*Assumptions!$B$57)/Assumptions!$B$10+X58*$D$13-'Monthly P&amp;L'!X15*$D$9</f>
        <v>417596.153846157</v>
      </c>
      <c r="Y59" s="117" t="n">
        <f aca="false">'Monthly P&amp;L'!Y5*$D$5*((1-$D$7)*(Assumptions!$B$47-Assumptions!$B$43*$D$8-Assumptions!$B$44-Assumptions!$B$45)+$D$7*Assumptions!$B$57)/Assumptions!$B$10+Y58*$D$13-'Monthly P&amp;L'!Y15*$D$9</f>
        <v>419532.051282054</v>
      </c>
    </row>
    <row r="60" customFormat="false" ht="15" hidden="false" customHeight="false" outlineLevel="0" collapsed="false">
      <c r="A60" s="116" t="s">
        <v>340</v>
      </c>
      <c r="B60" s="117" t="n">
        <f aca="false">B57-IF(COLUMN()-COLUMN($B$60)&lt;$D$11,0,INDEX($B$57:$Y$57,1,COLUMN()-COLUMN($B$60)+1-$D$11))</f>
        <v>5048.07692307692</v>
      </c>
      <c r="C60" s="117" t="n">
        <f aca="false">C57-IF(COLUMN()-COLUMN($B$60)&lt;$D$11,0,INDEX($B$57:$Y$57,1,COLUMN()-COLUMN($B$60)+1-$D$11))</f>
        <v>8413.46153846154</v>
      </c>
      <c r="D60" s="117" t="n">
        <f aca="false">D57-IF(COLUMN()-COLUMN($B$60)&lt;$D$11,0,INDEX($B$57:$Y$57,1,COLUMN()-COLUMN($B$60)+1-$D$11))</f>
        <v>8413.46153846154</v>
      </c>
      <c r="E60" s="117" t="n">
        <f aca="false">E57-IF(COLUMN()-COLUMN($B$60)&lt;$D$11,0,INDEX($B$57:$Y$57,1,COLUMN()-COLUMN($B$60)+1-$D$11))</f>
        <v>10096.1538461538</v>
      </c>
      <c r="F60" s="117" t="n">
        <f aca="false">F57-IF(COLUMN()-COLUMN($B$60)&lt;$D$11,0,INDEX($B$57:$Y$57,1,COLUMN()-COLUMN($B$60)+1-$D$11))</f>
        <v>8413.46153846154</v>
      </c>
      <c r="G60" s="117" t="n">
        <f aca="false">G57-IF(COLUMN()-COLUMN($B$60)&lt;$D$11,0,INDEX($B$57:$Y$57,1,COLUMN()-COLUMN($B$60)+1-$D$11))</f>
        <v>13461.5384615385</v>
      </c>
      <c r="H60" s="117" t="n">
        <f aca="false">H57-IF(COLUMN()-COLUMN($B$60)&lt;$D$11,0,INDEX($B$57:$Y$57,1,COLUMN()-COLUMN($B$60)+1-$D$11))</f>
        <v>28605.7692307692</v>
      </c>
      <c r="I60" s="117" t="n">
        <f aca="false">I57-IF(COLUMN()-COLUMN($B$60)&lt;$D$11,0,INDEX($B$57:$Y$57,1,COLUMN()-COLUMN($B$60)+1-$D$11))</f>
        <v>40384.6153846154</v>
      </c>
      <c r="J60" s="117" t="n">
        <f aca="false">J57-IF(COLUMN()-COLUMN($B$60)&lt;$D$11,0,INDEX($B$57:$Y$57,1,COLUMN()-COLUMN($B$60)+1-$D$11))</f>
        <v>38701.9230769231</v>
      </c>
      <c r="K60" s="117" t="n">
        <f aca="false">K57-IF(COLUMN()-COLUMN($B$60)&lt;$D$11,0,INDEX($B$57:$Y$57,1,COLUMN()-COLUMN($B$60)+1-$D$11))</f>
        <v>48798.0769230769</v>
      </c>
      <c r="L60" s="117" t="n">
        <f aca="false">L57-IF(COLUMN()-COLUMN($B$60)&lt;$D$11,0,INDEX($B$57:$Y$57,1,COLUMN()-COLUMN($B$60)+1-$D$11))</f>
        <v>48798.0769230769</v>
      </c>
      <c r="M60" s="117" t="n">
        <f aca="false">M57-IF(COLUMN()-COLUMN($B$60)&lt;$D$11,0,INDEX($B$57:$Y$57,1,COLUMN()-COLUMN($B$60)+1-$D$11))</f>
        <v>74038.4615384616</v>
      </c>
      <c r="N60" s="117" t="n">
        <f aca="false">N57-IF(COLUMN()-COLUMN($B$60)&lt;$D$11,0,INDEX($B$57:$Y$57,1,COLUMN()-COLUMN($B$60)+1-$D$11))</f>
        <v>77403.8461538461</v>
      </c>
      <c r="O60" s="117" t="n">
        <f aca="false">O57-IF(COLUMN()-COLUMN($B$60)&lt;$D$11,0,INDEX($B$57:$Y$57,1,COLUMN()-COLUMN($B$60)+1-$D$11))</f>
        <v>70673.0769230769</v>
      </c>
      <c r="P60" s="117" t="n">
        <f aca="false">P57-IF(COLUMN()-COLUMN($B$60)&lt;$D$11,0,INDEX($B$57:$Y$57,1,COLUMN()-COLUMN($B$60)+1-$D$11))</f>
        <v>70673.0769230769</v>
      </c>
      <c r="Q60" s="117" t="n">
        <f aca="false">Q57-IF(COLUMN()-COLUMN($B$60)&lt;$D$11,0,INDEX($B$57:$Y$57,1,COLUMN()-COLUMN($B$60)+1-$D$11))</f>
        <v>70673.076923077</v>
      </c>
      <c r="R60" s="117" t="n">
        <f aca="false">R57-IF(COLUMN()-COLUMN($B$60)&lt;$D$11,0,INDEX($B$57:$Y$57,1,COLUMN()-COLUMN($B$60)+1-$D$11))</f>
        <v>58894.2307692308</v>
      </c>
      <c r="S60" s="117" t="n">
        <f aca="false">S57-IF(COLUMN()-COLUMN($B$60)&lt;$D$11,0,INDEX($B$57:$Y$57,1,COLUMN()-COLUMN($B$60)+1-$D$11))</f>
        <v>50480.7692307693</v>
      </c>
      <c r="T60" s="117" t="n">
        <f aca="false">T57-IF(COLUMN()-COLUMN($B$60)&lt;$D$11,0,INDEX($B$57:$Y$57,1,COLUMN()-COLUMN($B$60)+1-$D$11))</f>
        <v>28605.7692307691</v>
      </c>
      <c r="U60" s="117" t="n">
        <f aca="false">U57-IF(COLUMN()-COLUMN($B$60)&lt;$D$11,0,INDEX($B$57:$Y$57,1,COLUMN()-COLUMN($B$60)+1-$D$11))</f>
        <v>15144.2307692309</v>
      </c>
      <c r="V60" s="117" t="n">
        <f aca="false">V57-IF(COLUMN()-COLUMN($B$60)&lt;$D$11,0,INDEX($B$57:$Y$57,1,COLUMN()-COLUMN($B$60)+1-$D$11))</f>
        <v>16826.923076923</v>
      </c>
      <c r="W60" s="117" t="n">
        <f aca="false">W57-IF(COLUMN()-COLUMN($B$60)&lt;$D$11,0,INDEX($B$57:$Y$57,1,COLUMN()-COLUMN($B$60)+1-$D$11))</f>
        <v>15144.2307692308</v>
      </c>
      <c r="X60" s="117" t="n">
        <f aca="false">X57-IF(COLUMN()-COLUMN($B$60)&lt;$D$11,0,INDEX($B$57:$Y$57,1,COLUMN()-COLUMN($B$60)+1-$D$11))</f>
        <v>15144.2307692308</v>
      </c>
      <c r="Y60" s="117" t="n">
        <f aca="false">Y57-IF(COLUMN()-COLUMN($B$60)&lt;$D$11,0,INDEX($B$57:$Y$57,1,COLUMN()-COLUMN($B$60)+1-$D$11))</f>
        <v>1682.69230769237</v>
      </c>
    </row>
    <row r="61" customFormat="false" ht="15" hidden="false" customHeight="false" outlineLevel="0" collapsed="false">
      <c r="A61" s="116" t="s">
        <v>341</v>
      </c>
      <c r="B61" s="117" t="n">
        <f aca="false">B58-IF(COLUMN()-COLUMN($B$61)&lt;$D$12,0,INDEX($B$58:$Y$58,1,COLUMN()-COLUMN($B$61)+1-$D$12))</f>
        <v>10384.6153846154</v>
      </c>
      <c r="C61" s="117" t="n">
        <f aca="false">C58-IF(COLUMN()-COLUMN($B$61)&lt;$D$12,0,INDEX($B$58:$Y$58,1,COLUMN()-COLUMN($B$61)+1-$D$12))</f>
        <v>2307.69230769231</v>
      </c>
      <c r="D61" s="117" t="n">
        <f aca="false">D58-IF(COLUMN()-COLUMN($B$61)&lt;$D$12,0,INDEX($B$58:$Y$58,1,COLUMN()-COLUMN($B$61)+1-$D$12))</f>
        <v>2788.46153846154</v>
      </c>
      <c r="E61" s="117" t="n">
        <f aca="false">E58-IF(COLUMN()-COLUMN($B$61)&lt;$D$12,0,INDEX($B$58:$Y$58,1,COLUMN()-COLUMN($B$61)+1-$D$12))</f>
        <v>2307.69230769231</v>
      </c>
      <c r="F61" s="117" t="n">
        <f aca="false">F58-IF(COLUMN()-COLUMN($B$61)&lt;$D$12,0,INDEX($B$58:$Y$58,1,COLUMN()-COLUMN($B$61)+1-$D$12))</f>
        <v>2307.69230769231</v>
      </c>
      <c r="G61" s="117" t="n">
        <f aca="false">G58-IF(COLUMN()-COLUMN($B$61)&lt;$D$12,0,INDEX($B$58:$Y$58,1,COLUMN()-COLUMN($B$61)+1-$D$12))</f>
        <v>2788.46153846154</v>
      </c>
      <c r="H61" s="117" t="n">
        <f aca="false">H58-IF(COLUMN()-COLUMN($B$61)&lt;$D$12,0,INDEX($B$58:$Y$58,1,COLUMN()-COLUMN($B$61)+1-$D$12))</f>
        <v>2307.69230769231</v>
      </c>
      <c r="I61" s="117" t="n">
        <f aca="false">I58-IF(COLUMN()-COLUMN($B$61)&lt;$D$12,0,INDEX($B$58:$Y$58,1,COLUMN()-COLUMN($B$61)+1-$D$12))</f>
        <v>2307.69230769231</v>
      </c>
      <c r="J61" s="117" t="n">
        <f aca="false">J58-IF(COLUMN()-COLUMN($B$61)&lt;$D$12,0,INDEX($B$58:$Y$58,1,COLUMN()-COLUMN($B$61)+1-$D$12))</f>
        <v>2788.46153846154</v>
      </c>
      <c r="K61" s="117" t="n">
        <f aca="false">K58-IF(COLUMN()-COLUMN($B$61)&lt;$D$12,0,INDEX($B$58:$Y$58,1,COLUMN()-COLUMN($B$61)+1-$D$12))</f>
        <v>2307.69230769231</v>
      </c>
      <c r="L61" s="117" t="n">
        <f aca="false">L58-IF(COLUMN()-COLUMN($B$61)&lt;$D$12,0,INDEX($B$58:$Y$58,1,COLUMN()-COLUMN($B$61)+1-$D$12))</f>
        <v>2307.69230769231</v>
      </c>
      <c r="M61" s="117" t="n">
        <f aca="false">M58-IF(COLUMN()-COLUMN($B$61)&lt;$D$12,0,INDEX($B$58:$Y$58,1,COLUMN()-COLUMN($B$61)+1-$D$12))</f>
        <v>2788.46153846153</v>
      </c>
      <c r="N61" s="117" t="n">
        <f aca="false">N58-IF(COLUMN()-COLUMN($B$61)&lt;$D$12,0,INDEX($B$58:$Y$58,1,COLUMN()-COLUMN($B$61)+1-$D$12))</f>
        <v>2307.69230769231</v>
      </c>
      <c r="O61" s="117" t="n">
        <f aca="false">O58-IF(COLUMN()-COLUMN($B$61)&lt;$D$12,0,INDEX($B$58:$Y$58,1,COLUMN()-COLUMN($B$61)+1-$D$12))</f>
        <v>2788.46153846154</v>
      </c>
      <c r="P61" s="117" t="n">
        <f aca="false">P58-IF(COLUMN()-COLUMN($B$61)&lt;$D$12,0,INDEX($B$58:$Y$58,1,COLUMN()-COLUMN($B$61)+1-$D$12))</f>
        <v>2307.69230769231</v>
      </c>
      <c r="Q61" s="117" t="n">
        <f aca="false">Q58-IF(COLUMN()-COLUMN($B$61)&lt;$D$12,0,INDEX($B$58:$Y$58,1,COLUMN()-COLUMN($B$61)+1-$D$12))</f>
        <v>2307.69230769231</v>
      </c>
      <c r="R61" s="117" t="n">
        <f aca="false">R58-IF(COLUMN()-COLUMN($B$61)&lt;$D$12,0,INDEX($B$58:$Y$58,1,COLUMN()-COLUMN($B$61)+1-$D$12))</f>
        <v>2788.46153846154</v>
      </c>
      <c r="S61" s="117" t="n">
        <f aca="false">S58-IF(COLUMN()-COLUMN($B$61)&lt;$D$12,0,INDEX($B$58:$Y$58,1,COLUMN()-COLUMN($B$61)+1-$D$12))</f>
        <v>2307.69230769231</v>
      </c>
      <c r="T61" s="117" t="n">
        <f aca="false">T58-IF(COLUMN()-COLUMN($B$61)&lt;$D$12,0,INDEX($B$58:$Y$58,1,COLUMN()-COLUMN($B$61)+1-$D$12))</f>
        <v>2307.69230769231</v>
      </c>
      <c r="U61" s="117" t="n">
        <f aca="false">U58-IF(COLUMN()-COLUMN($B$61)&lt;$D$12,0,INDEX($B$58:$Y$58,1,COLUMN()-COLUMN($B$61)+1-$D$12))</f>
        <v>2788.46153846154</v>
      </c>
      <c r="V61" s="117" t="n">
        <f aca="false">V58-IF(COLUMN()-COLUMN($B$61)&lt;$D$12,0,INDEX($B$58:$Y$58,1,COLUMN()-COLUMN($B$61)+1-$D$12))</f>
        <v>2307.69230769231</v>
      </c>
      <c r="W61" s="117" t="n">
        <f aca="false">W58-IF(COLUMN()-COLUMN($B$61)&lt;$D$12,0,INDEX($B$58:$Y$58,1,COLUMN()-COLUMN($B$61)+1-$D$12))</f>
        <v>2307.69230769231</v>
      </c>
      <c r="X61" s="117" t="n">
        <f aca="false">X58-IF(COLUMN()-COLUMN($B$61)&lt;$D$12,0,INDEX($B$58:$Y$58,1,COLUMN()-COLUMN($B$61)+1-$D$12))</f>
        <v>2788.46153846154</v>
      </c>
      <c r="Y61" s="117" t="n">
        <f aca="false">Y58-IF(COLUMN()-COLUMN($B$61)&lt;$D$12,0,INDEX($B$58:$Y$58,1,COLUMN()-COLUMN($B$61)+1-$D$12))</f>
        <v>2307.69230769231</v>
      </c>
    </row>
    <row r="62" customFormat="false" ht="15" hidden="false" customHeight="false" outlineLevel="0" collapsed="false">
      <c r="A62" s="116" t="s">
        <v>309</v>
      </c>
      <c r="B62" s="117" t="n">
        <f aca="false">Assumptions!$B$5+B59-B60-B61-Assumptions!$B$31-Assumptions!$B$32/12</f>
        <v>914466.025641026</v>
      </c>
      <c r="C62" s="117" t="n">
        <f aca="false">B62+C59-C60-C61-Assumptions!$B$32/12</f>
        <v>864169.230769231</v>
      </c>
      <c r="D62" s="117" t="n">
        <f aca="false">C62+D59-D60-D61-Assumptions!$B$32/12</f>
        <v>819133.653846154</v>
      </c>
      <c r="E62" s="117" t="n">
        <f aca="false">D62+E59-E60-E61-Assumptions!$B$32/12</f>
        <v>779319.230769231</v>
      </c>
      <c r="F62" s="117" t="n">
        <f aca="false">E62+F59-F60-F61-Assumptions!$B$32/12</f>
        <v>746713.141025642</v>
      </c>
      <c r="G62" s="117" t="n">
        <f aca="false">F62+G59-G60-G61-Assumptions!$B$32/12</f>
        <v>717012.500000001</v>
      </c>
      <c r="H62" s="117" t="n">
        <f aca="false">G62+H59-H60-H61-Assumptions!$B$32/12</f>
        <v>686743.269230771</v>
      </c>
      <c r="I62" s="117" t="n">
        <f aca="false">H62+I59-I60-I61-Assumptions!$B$32/12</f>
        <v>667272.115384618</v>
      </c>
      <c r="J62" s="117" t="n">
        <f aca="false">I62+J59-J60-J61-Assumptions!$B$32/12</f>
        <v>670898.717948721</v>
      </c>
      <c r="K62" s="117" t="n">
        <f aca="false">J62+K59-K60-K61-Assumptions!$B$32/12</f>
        <v>691974.038461542</v>
      </c>
      <c r="L62" s="117" t="n">
        <f aca="false">K62+L59-L60-L61-Assumptions!$B$32/12</f>
        <v>740113.461538466</v>
      </c>
      <c r="M62" s="117" t="n">
        <f aca="false">L62+M59-M60-M61-Assumptions!$B$32/12</f>
        <v>803273.717948724</v>
      </c>
      <c r="N62" s="117" t="n">
        <f aca="false">M62+N59-N60-N61</f>
        <v>910036.538461546</v>
      </c>
      <c r="O62" s="117" t="n">
        <f aca="false">N62+O59-O60-O61</f>
        <v>1061996.47435898</v>
      </c>
      <c r="P62" s="117" t="n">
        <f aca="false">O62+P59-P60-P61</f>
        <v>1253167.94871796</v>
      </c>
      <c r="Q62" s="117" t="n">
        <f aca="false">P62+Q59-Q60-Q61</f>
        <v>1483070.19230771</v>
      </c>
      <c r="R62" s="117" t="n">
        <f aca="false">Q62+R59-R60-R61</f>
        <v>1756935.57692309</v>
      </c>
      <c r="S62" s="117" t="n">
        <f aca="false">R62+S59-S60-S61</f>
        <v>2067656.73076925</v>
      </c>
      <c r="T62" s="117" t="n">
        <f aca="false">S62+T59-T60-T61</f>
        <v>2416547.75641028</v>
      </c>
      <c r="U62" s="117" t="n">
        <f aca="false">T62+U59-U60-U61</f>
        <v>2787751.28205131</v>
      </c>
      <c r="V62" s="117" t="n">
        <f aca="false">U62+V59-V60-V61</f>
        <v>3167765.70512823</v>
      </c>
      <c r="W62" s="117" t="n">
        <f aca="false">V62+W59-W60-W61</f>
        <v>3558578.20512824</v>
      </c>
      <c r="X62" s="117" t="n">
        <f aca="false">W62+X59-X60-X61</f>
        <v>3958241.6666667</v>
      </c>
      <c r="Y62" s="117" t="n">
        <f aca="false">X62+Y59-Y60-Y61</f>
        <v>4373783.33333337</v>
      </c>
    </row>
    <row r="63" customFormat="false" ht="15" hidden="false" customHeight="false" outlineLevel="0" collapsed="false">
      <c r="A63" s="118" t="s">
        <v>342</v>
      </c>
      <c r="B63" s="119" t="n">
        <f aca="false">IF(B59&gt;=0,1,999)</f>
        <v>999</v>
      </c>
      <c r="C63" s="119" t="n">
        <f aca="false">IF(C59&gt;=0,2,999)</f>
        <v>999</v>
      </c>
      <c r="D63" s="119" t="n">
        <f aca="false">IF(D59&gt;=0,3,999)</f>
        <v>999</v>
      </c>
      <c r="E63" s="119" t="n">
        <f aca="false">IF(E59&gt;=0,4,999)</f>
        <v>999</v>
      </c>
      <c r="F63" s="119" t="n">
        <f aca="false">IF(F59&gt;=0,5,999)</f>
        <v>999</v>
      </c>
      <c r="G63" s="119" t="n">
        <f aca="false">IF(G59&gt;=0,6,999)</f>
        <v>999</v>
      </c>
      <c r="H63" s="119" t="n">
        <f aca="false">IF(H59&gt;=0,7,999)</f>
        <v>7</v>
      </c>
      <c r="I63" s="119" t="n">
        <f aca="false">IF(I59&gt;=0,8,999)</f>
        <v>8</v>
      </c>
      <c r="J63" s="119" t="n">
        <f aca="false">IF(J59&gt;=0,9,999)</f>
        <v>9</v>
      </c>
      <c r="K63" s="119" t="n">
        <f aca="false">IF(K59&gt;=0,10,999)</f>
        <v>10</v>
      </c>
      <c r="L63" s="119" t="n">
        <f aca="false">IF(L59&gt;=0,11,999)</f>
        <v>11</v>
      </c>
      <c r="M63" s="119" t="n">
        <f aca="false">IF(M59&gt;=0,12,999)</f>
        <v>12</v>
      </c>
      <c r="N63" s="119" t="n">
        <f aca="false">IF(N59&gt;=0,13,999)</f>
        <v>13</v>
      </c>
      <c r="O63" s="119" t="n">
        <f aca="false">IF(O59&gt;=0,14,999)</f>
        <v>14</v>
      </c>
      <c r="P63" s="119" t="n">
        <f aca="false">IF(P59&gt;=0,15,999)</f>
        <v>15</v>
      </c>
      <c r="Q63" s="119" t="n">
        <f aca="false">IF(Q59&gt;=0,16,999)</f>
        <v>16</v>
      </c>
      <c r="R63" s="119" t="n">
        <f aca="false">IF(R59&gt;=0,17,999)</f>
        <v>17</v>
      </c>
      <c r="S63" s="119" t="n">
        <f aca="false">IF(S59&gt;=0,18,999)</f>
        <v>18</v>
      </c>
      <c r="T63" s="119" t="n">
        <f aca="false">IF(T59&gt;=0,19,999)</f>
        <v>19</v>
      </c>
      <c r="U63" s="119" t="n">
        <f aca="false">IF(U59&gt;=0,20,999)</f>
        <v>20</v>
      </c>
      <c r="V63" s="119" t="n">
        <f aca="false">IF(V59&gt;=0,21,999)</f>
        <v>21</v>
      </c>
      <c r="W63" s="119" t="n">
        <f aca="false">IF(W59&gt;=0,22,999)</f>
        <v>22</v>
      </c>
      <c r="X63" s="119" t="n">
        <f aca="false">IF(X59&gt;=0,23,999)</f>
        <v>23</v>
      </c>
      <c r="Y63" s="119" t="n">
        <f aca="false">IF(Y59&gt;=0,24,999)</f>
        <v>24</v>
      </c>
    </row>
    <row r="66" customFormat="false" ht="15" hidden="false" customHeight="false" outlineLevel="0" collapsed="false">
      <c r="A66" s="113" t="s">
        <v>360</v>
      </c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</row>
    <row r="67" customFormat="false" ht="15" hidden="false" customHeight="false" outlineLevel="0" collapsed="false">
      <c r="A67" s="10" t="s">
        <v>150</v>
      </c>
      <c r="B67" s="11" t="str">
        <f aca="false">'Monthly P&amp;L'!B3</f>
        <v>Jul-26</v>
      </c>
      <c r="C67" s="11" t="str">
        <f aca="false">'Monthly P&amp;L'!C3</f>
        <v>Aug-26</v>
      </c>
      <c r="D67" s="11" t="str">
        <f aca="false">'Monthly P&amp;L'!D3</f>
        <v>Sep-26</v>
      </c>
      <c r="E67" s="11" t="str">
        <f aca="false">'Monthly P&amp;L'!E3</f>
        <v>Oct-26</v>
      </c>
      <c r="F67" s="11" t="str">
        <f aca="false">'Monthly P&amp;L'!F3</f>
        <v>Nov-26</v>
      </c>
      <c r="G67" s="11" t="str">
        <f aca="false">'Monthly P&amp;L'!G3</f>
        <v>Dec-26</v>
      </c>
      <c r="H67" s="11" t="str">
        <f aca="false">'Monthly P&amp;L'!H3</f>
        <v>Jan-27</v>
      </c>
      <c r="I67" s="11" t="str">
        <f aca="false">'Monthly P&amp;L'!I3</f>
        <v>Feb-27</v>
      </c>
      <c r="J67" s="11" t="str">
        <f aca="false">'Monthly P&amp;L'!J3</f>
        <v>Mar-27</v>
      </c>
      <c r="K67" s="11" t="str">
        <f aca="false">'Monthly P&amp;L'!K3</f>
        <v>Apr-27</v>
      </c>
      <c r="L67" s="11" t="str">
        <f aca="false">'Monthly P&amp;L'!L3</f>
        <v>May-27</v>
      </c>
      <c r="M67" s="11" t="str">
        <f aca="false">'Monthly P&amp;L'!M3</f>
        <v>Jun-27</v>
      </c>
      <c r="N67" s="11" t="str">
        <f aca="false">'Monthly P&amp;L'!N3</f>
        <v>Jul-27</v>
      </c>
      <c r="O67" s="11" t="str">
        <f aca="false">'Monthly P&amp;L'!O3</f>
        <v>Aug-27</v>
      </c>
      <c r="P67" s="11" t="str">
        <f aca="false">'Monthly P&amp;L'!P3</f>
        <v>Sep-27</v>
      </c>
      <c r="Q67" s="11" t="str">
        <f aca="false">'Monthly P&amp;L'!Q3</f>
        <v>Oct-27</v>
      </c>
      <c r="R67" s="11" t="str">
        <f aca="false">'Monthly P&amp;L'!R3</f>
        <v>Nov-27</v>
      </c>
      <c r="S67" s="11" t="str">
        <f aca="false">'Monthly P&amp;L'!S3</f>
        <v>Dec-27</v>
      </c>
      <c r="T67" s="11" t="str">
        <f aca="false">'Monthly P&amp;L'!T3</f>
        <v>Jan-28</v>
      </c>
      <c r="U67" s="11" t="str">
        <f aca="false">'Monthly P&amp;L'!U3</f>
        <v>Feb-28</v>
      </c>
      <c r="V67" s="11" t="str">
        <f aca="false">'Monthly P&amp;L'!V3</f>
        <v>Mar-28</v>
      </c>
      <c r="W67" s="11" t="str">
        <f aca="false">'Monthly P&amp;L'!W3</f>
        <v>Apr-28</v>
      </c>
      <c r="X67" s="11" t="str">
        <f aca="false">'Monthly P&amp;L'!X3</f>
        <v>May-28</v>
      </c>
      <c r="Y67" s="12" t="str">
        <f aca="false">'Monthly P&amp;L'!Y3</f>
        <v>Jun-28</v>
      </c>
    </row>
    <row r="68" customFormat="false" ht="15" hidden="false" customHeight="false" outlineLevel="0" collapsed="false">
      <c r="A68" s="114" t="s">
        <v>182</v>
      </c>
      <c r="B68" s="115" t="n">
        <f aca="false">'Monthly P&amp;L'!B5*$E$5*((1-$E$7)*Assumptions!$B$47+$E$7*(Assumptions!$B$55*Assumptions!$B$15))/Assumptions!$B$10</f>
        <v>10887.9513343799</v>
      </c>
      <c r="C68" s="115" t="n">
        <f aca="false">'Monthly P&amp;L'!C5*$E$5*((1-$E$7)*Assumptions!$B$47+$E$7*(Assumptions!$B$55*Assumptions!$B$15))/Assumptions!$B$10</f>
        <v>29034.5368916798</v>
      </c>
      <c r="D68" s="115" t="n">
        <f aca="false">'Monthly P&amp;L'!D5*$E$5*((1-$E$7)*Assumptions!$B$47+$E$7*(Assumptions!$B$55*Assumptions!$B$15))/Assumptions!$B$10</f>
        <v>47181.1224489796</v>
      </c>
      <c r="E68" s="115" t="n">
        <f aca="false">'Monthly P&amp;L'!E5*$E$5*((1-$E$7)*Assumptions!$B$47+$E$7*(Assumptions!$B$55*Assumptions!$B$15))/Assumptions!$B$10</f>
        <v>68957.0251177394</v>
      </c>
      <c r="F68" s="115" t="n">
        <f aca="false">'Monthly P&amp;L'!F5*$E$5*((1-$E$7)*Assumptions!$B$47+$E$7*(Assumptions!$B$55*Assumptions!$B$15))/Assumptions!$B$10</f>
        <v>87103.6106750393</v>
      </c>
      <c r="G68" s="115" t="n">
        <f aca="false">'Monthly P&amp;L'!G5*$E$5*((1-$E$7)*Assumptions!$B$47+$E$7*(Assumptions!$B$55*Assumptions!$B$15))/Assumptions!$B$10</f>
        <v>116138.147566719</v>
      </c>
      <c r="H68" s="115" t="n">
        <f aca="false">'Monthly P&amp;L'!H5*$E$5*((1-$E$7)*Assumptions!$B$47+$E$7*(Assumptions!$B$55*Assumptions!$B$15))/Assumptions!$B$10</f>
        <v>177836.538461538</v>
      </c>
      <c r="I68" s="115" t="n">
        <f aca="false">'Monthly P&amp;L'!I5*$E$5*((1-$E$7)*Assumptions!$B$47+$E$7*(Assumptions!$B$55*Assumptions!$B$15))/Assumptions!$B$10</f>
        <v>264940.149136578</v>
      </c>
      <c r="J68" s="115" t="n">
        <f aca="false">'Monthly P&amp;L'!J5*$E$5*((1-$E$7)*Assumptions!$B$47+$E$7*(Assumptions!$B$55*Assumptions!$B$15))/Assumptions!$B$10</f>
        <v>348414.442700157</v>
      </c>
      <c r="K68" s="115" t="n">
        <f aca="false">'Monthly P&amp;L'!K5*$E$5*((1-$E$7)*Assumptions!$B$47+$E$7*(Assumptions!$B$55*Assumptions!$B$15))/Assumptions!$B$10</f>
        <v>453664.638932496</v>
      </c>
      <c r="L68" s="115" t="n">
        <f aca="false">'Monthly P&amp;L'!L5*$E$5*((1-$E$7)*Assumptions!$B$47+$E$7*(Assumptions!$B$55*Assumptions!$B$15))/Assumptions!$B$10</f>
        <v>558914.835164835</v>
      </c>
      <c r="M68" s="115" t="n">
        <f aca="false">'Monthly P&amp;L'!M5*$E$5*((1-$E$7)*Assumptions!$B$47+$E$7*(Assumptions!$B$55*Assumptions!$B$15))/Assumptions!$B$10</f>
        <v>718604.788069074</v>
      </c>
      <c r="N68" s="115" t="n">
        <f aca="false">'Monthly P&amp;L'!N5*$E$5*((1-$E$7)*Assumptions!$B$47+$E$7*(Assumptions!$B$55*Assumptions!$B$15))/Assumptions!$B$10</f>
        <v>885553.375196232</v>
      </c>
      <c r="O68" s="115" t="n">
        <f aca="false">'Monthly P&amp;L'!O5*$E$5*((1-$E$7)*Assumptions!$B$47+$E$7*(Assumptions!$B$55*Assumptions!$B$15))/Assumptions!$B$10</f>
        <v>1037984.69387755</v>
      </c>
      <c r="P68" s="115" t="n">
        <f aca="false">'Monthly P&amp;L'!P5*$E$5*((1-$E$7)*Assumptions!$B$47+$E$7*(Assumptions!$B$55*Assumptions!$B$15))/Assumptions!$B$10</f>
        <v>1190416.01255887</v>
      </c>
      <c r="Q68" s="115" t="n">
        <f aca="false">'Monthly P&amp;L'!Q5*$E$5*((1-$E$7)*Assumptions!$B$47+$E$7*(Assumptions!$B$55*Assumptions!$B$15))/Assumptions!$B$10</f>
        <v>1342847.33124019</v>
      </c>
      <c r="R68" s="115" t="n">
        <f aca="false">'Monthly P&amp;L'!R5*$E$5*((1-$E$7)*Assumptions!$B$47+$E$7*(Assumptions!$B$55*Assumptions!$B$15))/Assumptions!$B$10</f>
        <v>1469873.43014129</v>
      </c>
      <c r="S68" s="115" t="n">
        <f aca="false">'Monthly P&amp;L'!S5*$E$5*((1-$E$7)*Assumptions!$B$47+$E$7*(Assumptions!$B$55*Assumptions!$B$15))/Assumptions!$B$10</f>
        <v>1578752.94348509</v>
      </c>
      <c r="T68" s="115" t="n">
        <f aca="false">'Monthly P&amp;L'!T5*$E$5*((1-$E$7)*Assumptions!$B$47+$E$7*(Assumptions!$B$55*Assumptions!$B$15))/Assumptions!$B$10</f>
        <v>1640451.33437991</v>
      </c>
      <c r="U68" s="115" t="n">
        <f aca="false">'Monthly P&amp;L'!U5*$E$5*((1-$E$7)*Assumptions!$B$47+$E$7*(Assumptions!$B$55*Assumptions!$B$15))/Assumptions!$B$10</f>
        <v>1673115.18838305</v>
      </c>
      <c r="V68" s="115" t="n">
        <f aca="false">'Monthly P&amp;L'!V5*$E$5*((1-$E$7)*Assumptions!$B$47+$E$7*(Assumptions!$B$55*Assumptions!$B$15))/Assumptions!$B$10</f>
        <v>1709408.35949765</v>
      </c>
      <c r="W68" s="115" t="n">
        <f aca="false">'Monthly P&amp;L'!W5*$E$5*((1-$E$7)*Assumptions!$B$47+$E$7*(Assumptions!$B$55*Assumptions!$B$15))/Assumptions!$B$10</f>
        <v>1742072.21350078</v>
      </c>
      <c r="X68" s="115" t="n">
        <f aca="false">'Monthly P&amp;L'!X5*$E$5*((1-$E$7)*Assumptions!$B$47+$E$7*(Assumptions!$B$55*Assumptions!$B$15))/Assumptions!$B$10</f>
        <v>1774736.06750392</v>
      </c>
      <c r="Y68" s="115" t="n">
        <f aca="false">'Monthly P&amp;L'!Y5*$E$5*((1-$E$7)*Assumptions!$B$47+$E$7*(Assumptions!$B$55*Assumptions!$B$15))/Assumptions!$B$10</f>
        <v>1778365.38461538</v>
      </c>
    </row>
    <row r="69" customFormat="false" ht="15" hidden="false" customHeight="false" outlineLevel="0" collapsed="false">
      <c r="A69" s="116" t="s">
        <v>183</v>
      </c>
      <c r="B69" s="117" t="n">
        <f aca="false">'Monthly P&amp;L'!B10*$E$6</f>
        <v>19073.7833594976</v>
      </c>
      <c r="C69" s="117" t="n">
        <f aca="false">'Monthly P&amp;L'!C10*$E$6</f>
        <v>23312.4018838305</v>
      </c>
      <c r="D69" s="117" t="n">
        <f aca="false">'Monthly P&amp;L'!D10*$E$6</f>
        <v>28434.0659340659</v>
      </c>
      <c r="E69" s="117" t="n">
        <f aca="false">'Monthly P&amp;L'!E10*$E$6</f>
        <v>32672.6844583987</v>
      </c>
      <c r="F69" s="117" t="n">
        <f aca="false">'Monthly P&amp;L'!F10*$E$6</f>
        <v>36911.3029827316</v>
      </c>
      <c r="G69" s="117" t="n">
        <f aca="false">'Monthly P&amp;L'!G10*$E$6</f>
        <v>42032.967032967</v>
      </c>
      <c r="H69" s="117" t="n">
        <f aca="false">'Monthly P&amp;L'!H10*$E$6</f>
        <v>46271.5855572998</v>
      </c>
      <c r="I69" s="117" t="n">
        <f aca="false">'Monthly P&amp;L'!I10*$E$6</f>
        <v>50510.2040816327</v>
      </c>
      <c r="J69" s="117" t="n">
        <f aca="false">'Monthly P&amp;L'!J10*$E$6</f>
        <v>55631.8681318681</v>
      </c>
      <c r="K69" s="117" t="n">
        <f aca="false">'Monthly P&amp;L'!K10*$E$6</f>
        <v>59870.4866562009</v>
      </c>
      <c r="L69" s="117" t="n">
        <f aca="false">'Monthly P&amp;L'!L10*$E$6</f>
        <v>64109.1051805338</v>
      </c>
      <c r="M69" s="117" t="n">
        <f aca="false">'Monthly P&amp;L'!M10*$E$6</f>
        <v>69230.7692307692</v>
      </c>
      <c r="N69" s="117" t="n">
        <f aca="false">'Monthly P&amp;L'!N10*$E$6</f>
        <v>73469.387755102</v>
      </c>
      <c r="O69" s="117" t="n">
        <f aca="false">'Monthly P&amp;L'!O10*$E$6</f>
        <v>78591.0518053375</v>
      </c>
      <c r="P69" s="117" t="n">
        <f aca="false">'Monthly P&amp;L'!P10*$E$6</f>
        <v>82829.6703296703</v>
      </c>
      <c r="Q69" s="117" t="n">
        <f aca="false">'Monthly P&amp;L'!Q10*$E$6</f>
        <v>87068.2888540031</v>
      </c>
      <c r="R69" s="117" t="n">
        <f aca="false">'Monthly P&amp;L'!R10*$E$6</f>
        <v>92189.9529042386</v>
      </c>
      <c r="S69" s="117" t="n">
        <f aca="false">'Monthly P&amp;L'!S10*$E$6</f>
        <v>96428.5714285714</v>
      </c>
      <c r="T69" s="117" t="n">
        <f aca="false">'Monthly P&amp;L'!T10*$E$6</f>
        <v>100667.189952904</v>
      </c>
      <c r="U69" s="117" t="n">
        <f aca="false">'Monthly P&amp;L'!U10*$E$6</f>
        <v>105788.85400314</v>
      </c>
      <c r="V69" s="117" t="n">
        <f aca="false">'Monthly P&amp;L'!V10*$E$6</f>
        <v>110027.472527473</v>
      </c>
      <c r="W69" s="117" t="n">
        <f aca="false">'Monthly P&amp;L'!W10*$E$6</f>
        <v>114266.091051805</v>
      </c>
      <c r="X69" s="117" t="n">
        <f aca="false">'Monthly P&amp;L'!X10*$E$6</f>
        <v>119387.755102041</v>
      </c>
      <c r="Y69" s="117" t="n">
        <f aca="false">'Monthly P&amp;L'!Y10*$E$6</f>
        <v>123626.373626374</v>
      </c>
    </row>
    <row r="70" customFormat="false" ht="15" hidden="false" customHeight="false" outlineLevel="0" collapsed="false">
      <c r="A70" s="116" t="s">
        <v>189</v>
      </c>
      <c r="B70" s="117" t="n">
        <f aca="false">'Monthly P&amp;L'!B5*$E$5*((1-$E$7)*(Assumptions!$B$47-Assumptions!$B$43*$E$8-Assumptions!$B$44-Assumptions!$B$45)+$E$7*Assumptions!$B$57)/Assumptions!$B$10+B69*$E$13-'Monthly P&amp;L'!B15*$E$9</f>
        <v>-25051.1773940345</v>
      </c>
      <c r="C70" s="117" t="n">
        <f aca="false">'Monthly P&amp;L'!C5*$E$5*((1-$E$7)*(Assumptions!$B$47-Assumptions!$B$43*$E$8-Assumptions!$B$44-Assumptions!$B$45)+$E$7*Assumptions!$B$57)/Assumptions!$B$10+C69*$E$13-'Monthly P&amp;L'!C15*$E$9</f>
        <v>-10548.037676609</v>
      </c>
      <c r="D70" s="117" t="n">
        <f aca="false">'Monthly P&amp;L'!D5*$E$5*((1-$E$7)*(Assumptions!$B$47-Assumptions!$B$43*$E$8-Assumptions!$B$44-Assumptions!$B$45)+$E$7*Assumptions!$B$57)/Assumptions!$B$10+D69*$E$13-'Monthly P&amp;L'!D15*$E$9</f>
        <v>4732.18210361082</v>
      </c>
      <c r="E70" s="117" t="n">
        <f aca="false">'Monthly P&amp;L'!E5*$E$5*((1-$E$7)*(Assumptions!$B$47-Assumptions!$B$43*$E$8-Assumptions!$B$44-Assumptions!$B$45)+$E$7*Assumptions!$B$57)/Assumptions!$B$10+E69*$E$13-'Monthly P&amp;L'!E15*$E$9</f>
        <v>21389.9529042388</v>
      </c>
      <c r="F70" s="117" t="n">
        <f aca="false">'Monthly P&amp;L'!F5*$E$5*((1-$E$7)*(Assumptions!$B$47-Assumptions!$B$43*$E$8-Assumptions!$B$44-Assumptions!$B$45)+$E$7*Assumptions!$B$57)/Assumptions!$B$10+F69*$E$13-'Monthly P&amp;L'!F15*$E$9</f>
        <v>35893.0926216643</v>
      </c>
      <c r="G70" s="117" t="n">
        <f aca="false">'Monthly P&amp;L'!G5*$E$5*((1-$E$7)*(Assumptions!$B$47-Assumptions!$B$43*$E$8-Assumptions!$B$44-Assumptions!$B$45)+$E$7*Assumptions!$B$57)/Assumptions!$B$10+G69*$E$13-'Monthly P&amp;L'!G15*$E$9</f>
        <v>57637.2056514917</v>
      </c>
      <c r="H70" s="117" t="n">
        <f aca="false">'Monthly P&amp;L'!H5*$E$5*((1-$E$7)*(Assumptions!$B$47-Assumptions!$B$43*$E$8-Assumptions!$B$44-Assumptions!$B$45)+$E$7*Assumptions!$B$57)/Assumptions!$B$10+H69*$E$13-'Monthly P&amp;L'!H15*$E$9</f>
        <v>95795.9183673475</v>
      </c>
      <c r="I70" s="117" t="n">
        <f aca="false">'Monthly P&amp;L'!I5*$E$5*((1-$E$7)*(Assumptions!$B$47-Assumptions!$B$43*$E$8-Assumptions!$B$44-Assumptions!$B$45)+$E$7*Assumptions!$B$57)/Assumptions!$B$10+I69*$E$13-'Monthly P&amp;L'!I15*$E$9</f>
        <v>151237.048665621</v>
      </c>
      <c r="J70" s="117" t="n">
        <f aca="false">'Monthly P&amp;L'!J5*$E$5*((1-$E$7)*(Assumptions!$B$47-Assumptions!$B$43*$E$8-Assumptions!$B$44-Assumptions!$B$45)+$E$7*Assumptions!$B$57)/Assumptions!$B$10+J69*$E$13-'Monthly P&amp;L'!J15*$E$9</f>
        <v>205300.627943486</v>
      </c>
      <c r="K70" s="117" t="n">
        <f aca="false">'Monthly P&amp;L'!K5*$E$5*((1-$E$7)*(Assumptions!$B$47-Assumptions!$B$43*$E$8-Assumptions!$B$44-Assumptions!$B$45)+$E$7*Assumptions!$B$57)/Assumptions!$B$10+K69*$E$13-'Monthly P&amp;L'!K15*$E$9</f>
        <v>271514.913657772</v>
      </c>
      <c r="L70" s="117" t="n">
        <f aca="false">'Monthly P&amp;L'!L5*$E$5*((1-$E$7)*(Assumptions!$B$47-Assumptions!$B$43*$E$8-Assumptions!$B$44-Assumptions!$B$45)+$E$7*Assumptions!$B$57)/Assumptions!$B$10+L69*$E$13-'Monthly P&amp;L'!L15*$E$9</f>
        <v>337729.199372058</v>
      </c>
      <c r="M70" s="117" t="n">
        <f aca="false">'Monthly P&amp;L'!M5*$E$5*((1-$E$7)*(Assumptions!$B$47-Assumptions!$B$43*$E$8-Assumptions!$B$44-Assumptions!$B$45)+$E$7*Assumptions!$B$57)/Assumptions!$B$10+M69*$E$13-'Monthly P&amp;L'!M15*$E$9</f>
        <v>437040.031397176</v>
      </c>
      <c r="N70" s="117" t="n">
        <f aca="false">'Monthly P&amp;L'!N5*$E$5*((1-$E$7)*(Assumptions!$B$47-Assumptions!$B$43*$E$8-Assumptions!$B$44-Assumptions!$B$45)+$E$7*Assumptions!$B$57)/Assumptions!$B$10+N69*$E$13-'Monthly P&amp;L'!N15*$E$9</f>
        <v>539883.045525905</v>
      </c>
      <c r="O70" s="117" t="n">
        <f aca="false">'Monthly P&amp;L'!O5*$E$5*((1-$E$7)*(Assumptions!$B$47-Assumptions!$B$43*$E$8-Assumptions!$B$44-Assumptions!$B$45)+$E$7*Assumptions!$B$57)/Assumptions!$B$10+O69*$E$13-'Monthly P&amp;L'!O15*$E$9</f>
        <v>634884.615384619</v>
      </c>
      <c r="P70" s="117" t="n">
        <f aca="false">'Monthly P&amp;L'!P5*$E$5*((1-$E$7)*(Assumptions!$B$47-Assumptions!$B$43*$E$8-Assumptions!$B$44-Assumptions!$B$45)+$E$7*Assumptions!$B$57)/Assumptions!$B$10+P69*$E$13-'Monthly P&amp;L'!P15*$E$9</f>
        <v>729109.105180537</v>
      </c>
      <c r="Q70" s="117" t="n">
        <f aca="false">'Monthly P&amp;L'!Q5*$E$5*((1-$E$7)*(Assumptions!$B$47-Assumptions!$B$43*$E$8-Assumptions!$B$44-Assumptions!$B$45)+$E$7*Assumptions!$B$57)/Assumptions!$B$10+Q69*$E$13-'Monthly P&amp;L'!Q15*$E$9</f>
        <v>823333.594976456</v>
      </c>
      <c r="R70" s="117" t="n">
        <f aca="false">'Monthly P&amp;L'!R5*$E$5*((1-$E$7)*(Assumptions!$B$47-Assumptions!$B$43*$E$8-Assumptions!$B$44-Assumptions!$B$45)+$E$7*Assumptions!$B$57)/Assumptions!$B$10+R69*$E$13-'Monthly P&amp;L'!R15*$E$9</f>
        <v>903252.747252752</v>
      </c>
      <c r="S70" s="117" t="n">
        <f aca="false">'Monthly P&amp;L'!S5*$E$5*((1-$E$7)*(Assumptions!$B$47-Assumptions!$B$43*$E$8-Assumptions!$B$44-Assumptions!$B$45)+$E$7*Assumptions!$B$57)/Assumptions!$B$10+S69*$E$13-'Monthly P&amp;L'!S15*$E$9</f>
        <v>971621.66405024</v>
      </c>
      <c r="T70" s="117" t="n">
        <f aca="false">'Monthly P&amp;L'!T5*$E$5*((1-$E$7)*(Assumptions!$B$47-Assumptions!$B$43*$E$8-Assumptions!$B$44-Assumptions!$B$45)+$E$7*Assumptions!$B$57)/Assumptions!$B$10+T69*$E$13-'Monthly P&amp;L'!T15*$E$9</f>
        <v>1011980.3767661</v>
      </c>
      <c r="U70" s="117" t="n">
        <f aca="false">'Monthly P&amp;L'!U5*$E$5*((1-$E$7)*(Assumptions!$B$47-Assumptions!$B$43*$E$8-Assumptions!$B$44-Assumptions!$B$45)+$E$7*Assumptions!$B$57)/Assumptions!$B$10+U69*$E$13-'Monthly P&amp;L'!U15*$E$9</f>
        <v>1035879.12087913</v>
      </c>
      <c r="V70" s="117" t="n">
        <f aca="false">'Monthly P&amp;L'!V5*$E$5*((1-$E$7)*(Assumptions!$B$47-Assumptions!$B$43*$E$8-Assumptions!$B$44-Assumptions!$B$45)+$E$7*Assumptions!$B$57)/Assumptions!$B$10+V69*$E$13-'Monthly P&amp;L'!V15*$E$9</f>
        <v>1061155.41601256</v>
      </c>
      <c r="W70" s="117" t="n">
        <f aca="false">'Monthly P&amp;L'!W5*$E$5*((1-$E$7)*(Assumptions!$B$47-Assumptions!$B$43*$E$8-Assumptions!$B$44-Assumptions!$B$45)+$E$7*Assumptions!$B$57)/Assumptions!$B$10+W69*$E$13-'Monthly P&amp;L'!W15*$E$9</f>
        <v>1084277.0800628</v>
      </c>
      <c r="X70" s="117" t="n">
        <f aca="false">'Monthly P&amp;L'!X5*$E$5*((1-$E$7)*(Assumptions!$B$47-Assumptions!$B$43*$E$8-Assumptions!$B$44-Assumptions!$B$45)+$E$7*Assumptions!$B$57)/Assumptions!$B$10+X69*$E$13-'Monthly P&amp;L'!X15*$E$9</f>
        <v>1108175.82417583</v>
      </c>
      <c r="Y70" s="117" t="n">
        <f aca="false">'Monthly P&amp;L'!Y5*$E$5*((1-$E$7)*(Assumptions!$B$47-Assumptions!$B$43*$E$8-Assumptions!$B$44-Assumptions!$B$45)+$E$7*Assumptions!$B$57)/Assumptions!$B$10+Y69*$E$13-'Monthly P&amp;L'!Y15*$E$9</f>
        <v>1114060.43956044</v>
      </c>
    </row>
    <row r="71" customFormat="false" ht="15" hidden="false" customHeight="false" outlineLevel="0" collapsed="false">
      <c r="A71" s="116" t="s">
        <v>340</v>
      </c>
      <c r="B71" s="117" t="n">
        <f aca="false">B68-IF(COLUMN()-COLUMN($B$71)&lt;$E$11,0,INDEX($B$68:$Y$68,1,COLUMN()-COLUMN($B$71)+1-$E$11))</f>
        <v>10887.9513343799</v>
      </c>
      <c r="C71" s="117" t="n">
        <f aca="false">C68-IF(COLUMN()-COLUMN($B$71)&lt;$E$11,0,INDEX($B$68:$Y$68,1,COLUMN()-COLUMN($B$71)+1-$E$11))</f>
        <v>18146.5855572998</v>
      </c>
      <c r="D71" s="117" t="n">
        <f aca="false">D68-IF(COLUMN()-COLUMN($B$71)&lt;$E$11,0,INDEX($B$68:$Y$68,1,COLUMN()-COLUMN($B$71)+1-$E$11))</f>
        <v>18146.5855572998</v>
      </c>
      <c r="E71" s="117" t="n">
        <f aca="false">E68-IF(COLUMN()-COLUMN($B$71)&lt;$E$11,0,INDEX($B$68:$Y$68,1,COLUMN()-COLUMN($B$71)+1-$E$11))</f>
        <v>21775.9026687598</v>
      </c>
      <c r="F71" s="117" t="n">
        <f aca="false">F68-IF(COLUMN()-COLUMN($B$71)&lt;$E$11,0,INDEX($B$68:$Y$68,1,COLUMN()-COLUMN($B$71)+1-$E$11))</f>
        <v>18146.5855572998</v>
      </c>
      <c r="G71" s="117" t="n">
        <f aca="false">G68-IF(COLUMN()-COLUMN($B$71)&lt;$E$11,0,INDEX($B$68:$Y$68,1,COLUMN()-COLUMN($B$71)+1-$E$11))</f>
        <v>29034.5368916797</v>
      </c>
      <c r="H71" s="117" t="n">
        <f aca="false">H68-IF(COLUMN()-COLUMN($B$71)&lt;$E$11,0,INDEX($B$68:$Y$68,1,COLUMN()-COLUMN($B$71)+1-$E$11))</f>
        <v>61698.3908948195</v>
      </c>
      <c r="I71" s="117" t="n">
        <f aca="false">I68-IF(COLUMN()-COLUMN($B$71)&lt;$E$11,0,INDEX($B$68:$Y$68,1,COLUMN()-COLUMN($B$71)+1-$E$11))</f>
        <v>87103.6106750393</v>
      </c>
      <c r="J71" s="117" t="n">
        <f aca="false">J68-IF(COLUMN()-COLUMN($B$71)&lt;$E$11,0,INDEX($B$68:$Y$68,1,COLUMN()-COLUMN($B$71)+1-$E$11))</f>
        <v>83474.2935635793</v>
      </c>
      <c r="K71" s="117" t="n">
        <f aca="false">K68-IF(COLUMN()-COLUMN($B$71)&lt;$E$11,0,INDEX($B$68:$Y$68,1,COLUMN()-COLUMN($B$71)+1-$E$11))</f>
        <v>105250.196232339</v>
      </c>
      <c r="L71" s="117" t="n">
        <f aca="false">L68-IF(COLUMN()-COLUMN($B$71)&lt;$E$11,0,INDEX($B$68:$Y$68,1,COLUMN()-COLUMN($B$71)+1-$E$11))</f>
        <v>105250.196232339</v>
      </c>
      <c r="M71" s="117" t="n">
        <f aca="false">M68-IF(COLUMN()-COLUMN($B$71)&lt;$E$11,0,INDEX($B$68:$Y$68,1,COLUMN()-COLUMN($B$71)+1-$E$11))</f>
        <v>159689.952904239</v>
      </c>
      <c r="N71" s="117" t="n">
        <f aca="false">N68-IF(COLUMN()-COLUMN($B$71)&lt;$E$11,0,INDEX($B$68:$Y$68,1,COLUMN()-COLUMN($B$71)+1-$E$11))</f>
        <v>166948.587127159</v>
      </c>
      <c r="O71" s="117" t="n">
        <f aca="false">O68-IF(COLUMN()-COLUMN($B$71)&lt;$E$11,0,INDEX($B$68:$Y$68,1,COLUMN()-COLUMN($B$71)+1-$E$11))</f>
        <v>152431.318681319</v>
      </c>
      <c r="P71" s="117" t="n">
        <f aca="false">P68-IF(COLUMN()-COLUMN($B$71)&lt;$E$11,0,INDEX($B$68:$Y$68,1,COLUMN()-COLUMN($B$71)+1-$E$11))</f>
        <v>152431.318681319</v>
      </c>
      <c r="Q71" s="117" t="n">
        <f aca="false">Q68-IF(COLUMN()-COLUMN($B$71)&lt;$E$11,0,INDEX($B$68:$Y$68,1,COLUMN()-COLUMN($B$71)+1-$E$11))</f>
        <v>152431.318681318</v>
      </c>
      <c r="R71" s="117" t="n">
        <f aca="false">R68-IF(COLUMN()-COLUMN($B$71)&lt;$E$11,0,INDEX($B$68:$Y$68,1,COLUMN()-COLUMN($B$71)+1-$E$11))</f>
        <v>127026.098901099</v>
      </c>
      <c r="S71" s="117" t="n">
        <f aca="false">S68-IF(COLUMN()-COLUMN($B$71)&lt;$E$11,0,INDEX($B$68:$Y$68,1,COLUMN()-COLUMN($B$71)+1-$E$11))</f>
        <v>108879.513343799</v>
      </c>
      <c r="T71" s="117" t="n">
        <f aca="false">T68-IF(COLUMN()-COLUMN($B$71)&lt;$E$11,0,INDEX($B$68:$Y$68,1,COLUMN()-COLUMN($B$71)+1-$E$11))</f>
        <v>61698.3908948198</v>
      </c>
      <c r="U71" s="117" t="n">
        <f aca="false">U68-IF(COLUMN()-COLUMN($B$71)&lt;$E$11,0,INDEX($B$68:$Y$68,1,COLUMN()-COLUMN($B$71)+1-$E$11))</f>
        <v>32663.8540031395</v>
      </c>
      <c r="V71" s="117" t="n">
        <f aca="false">V68-IF(COLUMN()-COLUMN($B$71)&lt;$E$11,0,INDEX($B$68:$Y$68,1,COLUMN()-COLUMN($B$71)+1-$E$11))</f>
        <v>36293.1711145996</v>
      </c>
      <c r="W71" s="117" t="n">
        <f aca="false">W68-IF(COLUMN()-COLUMN($B$71)&lt;$E$11,0,INDEX($B$68:$Y$68,1,COLUMN()-COLUMN($B$71)+1-$E$11))</f>
        <v>32663.8540031395</v>
      </c>
      <c r="X71" s="117" t="n">
        <f aca="false">X68-IF(COLUMN()-COLUMN($B$71)&lt;$E$11,0,INDEX($B$68:$Y$68,1,COLUMN()-COLUMN($B$71)+1-$E$11))</f>
        <v>32663.8540031398</v>
      </c>
      <c r="Y71" s="117" t="n">
        <f aca="false">Y68-IF(COLUMN()-COLUMN($B$71)&lt;$E$11,0,INDEX($B$68:$Y$68,1,COLUMN()-COLUMN($B$71)+1-$E$11))</f>
        <v>3629.31711146003</v>
      </c>
    </row>
    <row r="72" customFormat="false" ht="15" hidden="false" customHeight="false" outlineLevel="0" collapsed="false">
      <c r="A72" s="116" t="s">
        <v>341</v>
      </c>
      <c r="B72" s="117" t="n">
        <f aca="false">B69-IF(COLUMN()-COLUMN($B$72)&lt;$E$12,0,INDEX($B$69:$Y$69,1,COLUMN()-COLUMN($B$72)+1-$E$12))</f>
        <v>19073.7833594976</v>
      </c>
      <c r="C72" s="117" t="n">
        <f aca="false">C69-IF(COLUMN()-COLUMN($B$72)&lt;$E$12,0,INDEX($B$69:$Y$69,1,COLUMN()-COLUMN($B$72)+1-$E$12))</f>
        <v>4238.61852433281</v>
      </c>
      <c r="D72" s="117" t="n">
        <f aca="false">D69-IF(COLUMN()-COLUMN($B$72)&lt;$E$12,0,INDEX($B$69:$Y$69,1,COLUMN()-COLUMN($B$72)+1-$E$12))</f>
        <v>5121.66405023548</v>
      </c>
      <c r="E72" s="117" t="n">
        <f aca="false">E69-IF(COLUMN()-COLUMN($B$72)&lt;$E$12,0,INDEX($B$69:$Y$69,1,COLUMN()-COLUMN($B$72)+1-$E$12))</f>
        <v>4238.61852433282</v>
      </c>
      <c r="F72" s="117" t="n">
        <f aca="false">F69-IF(COLUMN()-COLUMN($B$72)&lt;$E$12,0,INDEX($B$69:$Y$69,1,COLUMN()-COLUMN($B$72)+1-$E$12))</f>
        <v>4238.6185243328</v>
      </c>
      <c r="G72" s="117" t="n">
        <f aca="false">G69-IF(COLUMN()-COLUMN($B$72)&lt;$E$12,0,INDEX($B$69:$Y$69,1,COLUMN()-COLUMN($B$72)+1-$E$12))</f>
        <v>5121.66405023549</v>
      </c>
      <c r="H72" s="117" t="n">
        <f aca="false">H69-IF(COLUMN()-COLUMN($B$72)&lt;$E$12,0,INDEX($B$69:$Y$69,1,COLUMN()-COLUMN($B$72)+1-$E$12))</f>
        <v>4238.6185243328</v>
      </c>
      <c r="I72" s="117" t="n">
        <f aca="false">I69-IF(COLUMN()-COLUMN($B$72)&lt;$E$12,0,INDEX($B$69:$Y$69,1,COLUMN()-COLUMN($B$72)+1-$E$12))</f>
        <v>4238.61852433282</v>
      </c>
      <c r="J72" s="117" t="n">
        <f aca="false">J69-IF(COLUMN()-COLUMN($B$72)&lt;$E$12,0,INDEX($B$69:$Y$69,1,COLUMN()-COLUMN($B$72)+1-$E$12))</f>
        <v>5121.66405023548</v>
      </c>
      <c r="K72" s="117" t="n">
        <f aca="false">K69-IF(COLUMN()-COLUMN($B$72)&lt;$E$12,0,INDEX($B$69:$Y$69,1,COLUMN()-COLUMN($B$72)+1-$E$12))</f>
        <v>4238.61852433281</v>
      </c>
      <c r="L72" s="117" t="n">
        <f aca="false">L69-IF(COLUMN()-COLUMN($B$72)&lt;$E$12,0,INDEX($B$69:$Y$69,1,COLUMN()-COLUMN($B$72)+1-$E$12))</f>
        <v>4238.61852433282</v>
      </c>
      <c r="M72" s="117" t="n">
        <f aca="false">M69-IF(COLUMN()-COLUMN($B$72)&lt;$E$12,0,INDEX($B$69:$Y$69,1,COLUMN()-COLUMN($B$72)+1-$E$12))</f>
        <v>5121.66405023546</v>
      </c>
      <c r="N72" s="117" t="n">
        <f aca="false">N69-IF(COLUMN()-COLUMN($B$72)&lt;$E$12,0,INDEX($B$69:$Y$69,1,COLUMN()-COLUMN($B$72)+1-$E$12))</f>
        <v>4238.61852433282</v>
      </c>
      <c r="O72" s="117" t="n">
        <f aca="false">O69-IF(COLUMN()-COLUMN($B$72)&lt;$E$12,0,INDEX($B$69:$Y$69,1,COLUMN()-COLUMN($B$72)+1-$E$12))</f>
        <v>5121.66405023549</v>
      </c>
      <c r="P72" s="117" t="n">
        <f aca="false">P69-IF(COLUMN()-COLUMN($B$72)&lt;$E$12,0,INDEX($B$69:$Y$69,1,COLUMN()-COLUMN($B$72)+1-$E$12))</f>
        <v>4238.61852433281</v>
      </c>
      <c r="Q72" s="117" t="n">
        <f aca="false">Q69-IF(COLUMN()-COLUMN($B$72)&lt;$E$12,0,INDEX($B$69:$Y$69,1,COLUMN()-COLUMN($B$72)+1-$E$12))</f>
        <v>4238.61852433279</v>
      </c>
      <c r="R72" s="117" t="n">
        <f aca="false">R69-IF(COLUMN()-COLUMN($B$72)&lt;$E$12,0,INDEX($B$69:$Y$69,1,COLUMN()-COLUMN($B$72)+1-$E$12))</f>
        <v>5121.66405023549</v>
      </c>
      <c r="S72" s="117" t="n">
        <f aca="false">S69-IF(COLUMN()-COLUMN($B$72)&lt;$E$12,0,INDEX($B$69:$Y$69,1,COLUMN()-COLUMN($B$72)+1-$E$12))</f>
        <v>4238.61852433282</v>
      </c>
      <c r="T72" s="117" t="n">
        <f aca="false">T69-IF(COLUMN()-COLUMN($B$72)&lt;$E$12,0,INDEX($B$69:$Y$69,1,COLUMN()-COLUMN($B$72)+1-$E$12))</f>
        <v>4238.61852433281</v>
      </c>
      <c r="U72" s="117" t="n">
        <f aca="false">U69-IF(COLUMN()-COLUMN($B$72)&lt;$E$12,0,INDEX($B$69:$Y$69,1,COLUMN()-COLUMN($B$72)+1-$E$12))</f>
        <v>5121.66405023547</v>
      </c>
      <c r="V72" s="117" t="n">
        <f aca="false">V69-IF(COLUMN()-COLUMN($B$72)&lt;$E$12,0,INDEX($B$69:$Y$69,1,COLUMN()-COLUMN($B$72)+1-$E$12))</f>
        <v>4238.61852433281</v>
      </c>
      <c r="W72" s="117" t="n">
        <f aca="false">W69-IF(COLUMN()-COLUMN($B$72)&lt;$E$12,0,INDEX($B$69:$Y$69,1,COLUMN()-COLUMN($B$72)+1-$E$12))</f>
        <v>4238.61852433282</v>
      </c>
      <c r="X72" s="117" t="n">
        <f aca="false">X69-IF(COLUMN()-COLUMN($B$72)&lt;$E$12,0,INDEX($B$69:$Y$69,1,COLUMN()-COLUMN($B$72)+1-$E$12))</f>
        <v>5121.66405023547</v>
      </c>
      <c r="Y72" s="117" t="n">
        <f aca="false">Y69-IF(COLUMN()-COLUMN($B$72)&lt;$E$12,0,INDEX($B$69:$Y$69,1,COLUMN()-COLUMN($B$72)+1-$E$12))</f>
        <v>4238.61852433282</v>
      </c>
    </row>
    <row r="73" customFormat="false" ht="15" hidden="false" customHeight="false" outlineLevel="0" collapsed="false">
      <c r="A73" s="116" t="s">
        <v>309</v>
      </c>
      <c r="B73" s="117" t="n">
        <f aca="false">Assumptions!$B$5+B70-B71-B72-Assumptions!$B$31-Assumptions!$B$32/12</f>
        <v>915820.421245421</v>
      </c>
      <c r="C73" s="117" t="n">
        <f aca="false">B73+C70-C71-C72-Assumptions!$B$32/12</f>
        <v>878720.512820513</v>
      </c>
      <c r="D73" s="117" t="n">
        <f aca="false">C73+D70-D71-D72-Assumptions!$B$32/12</f>
        <v>856017.778649922</v>
      </c>
      <c r="E73" s="117" t="n">
        <f aca="false">D73+E70-E71-E72-Assumptions!$B$32/12</f>
        <v>847226.543694402</v>
      </c>
      <c r="F73" s="117" t="n">
        <f aca="false">E73+F70-F71-F72-Assumptions!$B$32/12</f>
        <v>856567.765567767</v>
      </c>
      <c r="G73" s="117" t="n">
        <f aca="false">F73+G70-G71-G72-Assumptions!$B$32/12</f>
        <v>875882.103610677</v>
      </c>
      <c r="H73" s="117" t="n">
        <f aca="false">G73+H70-H71-H72-Assumptions!$B$32/12</f>
        <v>901574.345892205</v>
      </c>
      <c r="I73" s="117" t="n">
        <f aca="false">H73+I70-I71-I72-Assumptions!$B$32/12</f>
        <v>957302.498691787</v>
      </c>
      <c r="J73" s="117" t="n">
        <f aca="false">I73+J70-J71-J72-Assumptions!$B$32/12</f>
        <v>1069840.50235479</v>
      </c>
      <c r="K73" s="117" t="n">
        <f aca="false">J73+K70-K71-K72-Assumptions!$B$32/12</f>
        <v>1227699.93458923</v>
      </c>
      <c r="L73" s="117" t="n">
        <f aca="false">K73+L70-L71-L72-Assumptions!$B$32/12</f>
        <v>1451773.65253795</v>
      </c>
      <c r="M73" s="117" t="n">
        <f aca="false">L73+M70-M71-M72-Assumptions!$B$32/12</f>
        <v>1719835.40031398</v>
      </c>
      <c r="N73" s="117" t="n">
        <f aca="false">M73+N70-N71-N72</f>
        <v>2088531.2401884</v>
      </c>
      <c r="O73" s="117" t="n">
        <f aca="false">N73+O70-O71-O72</f>
        <v>2565862.87284146</v>
      </c>
      <c r="P73" s="117" t="n">
        <f aca="false">O73+P70-P71-P72</f>
        <v>3138302.04081635</v>
      </c>
      <c r="Q73" s="117" t="n">
        <f aca="false">P73+Q70-Q71-Q72</f>
        <v>3804965.69858715</v>
      </c>
      <c r="R73" s="117" t="n">
        <f aca="false">Q73+R70-R71-R72</f>
        <v>4576070.68288857</v>
      </c>
      <c r="S73" s="117" t="n">
        <f aca="false">R73+S70-S71-S72</f>
        <v>5434574.21507068</v>
      </c>
      <c r="T73" s="117" t="n">
        <f aca="false">S73+T70-T71-T72</f>
        <v>6380617.58241762</v>
      </c>
      <c r="U73" s="117" t="n">
        <f aca="false">T73+U70-U71-U72</f>
        <v>7378711.18524337</v>
      </c>
      <c r="V73" s="117" t="n">
        <f aca="false">U73+V70-V71-V72</f>
        <v>8399334.811617</v>
      </c>
      <c r="W73" s="117" t="n">
        <f aca="false">V73+W70-W71-W72</f>
        <v>9446709.41915233</v>
      </c>
      <c r="X73" s="117" t="n">
        <f aca="false">W73+X70-X71-X72</f>
        <v>10517099.7252748</v>
      </c>
      <c r="Y73" s="117" t="n">
        <f aca="false">X73+Y70-Y71-Y72</f>
        <v>11623292.2291994</v>
      </c>
    </row>
    <row r="74" customFormat="false" ht="15" hidden="false" customHeight="false" outlineLevel="0" collapsed="false">
      <c r="A74" s="118" t="s">
        <v>342</v>
      </c>
      <c r="B74" s="119" t="n">
        <f aca="false">IF(B70&gt;=0,1,999)</f>
        <v>999</v>
      </c>
      <c r="C74" s="119" t="n">
        <f aca="false">IF(C70&gt;=0,2,999)</f>
        <v>999</v>
      </c>
      <c r="D74" s="119" t="n">
        <f aca="false">IF(D70&gt;=0,3,999)</f>
        <v>3</v>
      </c>
      <c r="E74" s="119" t="n">
        <f aca="false">IF(E70&gt;=0,4,999)</f>
        <v>4</v>
      </c>
      <c r="F74" s="119" t="n">
        <f aca="false">IF(F70&gt;=0,5,999)</f>
        <v>5</v>
      </c>
      <c r="G74" s="119" t="n">
        <f aca="false">IF(G70&gt;=0,6,999)</f>
        <v>6</v>
      </c>
      <c r="H74" s="119" t="n">
        <f aca="false">IF(H70&gt;=0,7,999)</f>
        <v>7</v>
      </c>
      <c r="I74" s="119" t="n">
        <f aca="false">IF(I70&gt;=0,8,999)</f>
        <v>8</v>
      </c>
      <c r="J74" s="119" t="n">
        <f aca="false">IF(J70&gt;=0,9,999)</f>
        <v>9</v>
      </c>
      <c r="K74" s="119" t="n">
        <f aca="false">IF(K70&gt;=0,10,999)</f>
        <v>10</v>
      </c>
      <c r="L74" s="119" t="n">
        <f aca="false">IF(L70&gt;=0,11,999)</f>
        <v>11</v>
      </c>
      <c r="M74" s="119" t="n">
        <f aca="false">IF(M70&gt;=0,12,999)</f>
        <v>12</v>
      </c>
      <c r="N74" s="119" t="n">
        <f aca="false">IF(N70&gt;=0,13,999)</f>
        <v>13</v>
      </c>
      <c r="O74" s="119" t="n">
        <f aca="false">IF(O70&gt;=0,14,999)</f>
        <v>14</v>
      </c>
      <c r="P74" s="119" t="n">
        <f aca="false">IF(P70&gt;=0,15,999)</f>
        <v>15</v>
      </c>
      <c r="Q74" s="119" t="n">
        <f aca="false">IF(Q70&gt;=0,16,999)</f>
        <v>16</v>
      </c>
      <c r="R74" s="119" t="n">
        <f aca="false">IF(R70&gt;=0,17,999)</f>
        <v>17</v>
      </c>
      <c r="S74" s="119" t="n">
        <f aca="false">IF(S70&gt;=0,18,999)</f>
        <v>18</v>
      </c>
      <c r="T74" s="119" t="n">
        <f aca="false">IF(T70&gt;=0,19,999)</f>
        <v>19</v>
      </c>
      <c r="U74" s="119" t="n">
        <f aca="false">IF(U70&gt;=0,20,999)</f>
        <v>20</v>
      </c>
      <c r="V74" s="119" t="n">
        <f aca="false">IF(V70&gt;=0,21,999)</f>
        <v>21</v>
      </c>
      <c r="W74" s="119" t="n">
        <f aca="false">IF(W70&gt;=0,22,999)</f>
        <v>22</v>
      </c>
      <c r="X74" s="119" t="n">
        <f aca="false">IF(X70&gt;=0,23,999)</f>
        <v>23</v>
      </c>
      <c r="Y74" s="119" t="n">
        <f aca="false">IF(Y70&gt;=0,24,999)</f>
        <v>24</v>
      </c>
    </row>
  </sheetData>
  <mergeCells count="6">
    <mergeCell ref="A1:E1"/>
    <mergeCell ref="A2:E2"/>
    <mergeCell ref="A33:Y33"/>
    <mergeCell ref="A44:Y44"/>
    <mergeCell ref="A55:Y55"/>
    <mergeCell ref="A66:Y66"/>
  </mergeCells>
  <conditionalFormatting sqref="B31:E31">
    <cfRule type="containsText" priority="2" operator="containsText" aboveAverage="0" equalAverage="0" bottom="0" percent="0" rank="0" text="OK" dxfId="8">
      <formula>NOT(ISERROR(SEARCH("OK",B31)))</formula>
    </cfRule>
    <cfRule type="containsText" priority="3" operator="containsText" aboveAverage="0" equalAverage="0" bottom="0" percent="0" rank="0" text="OPEN" dxfId="9">
      <formula>NOT(ISERROR(SEARCH("OPEN",B31)))</formula>
    </cfRule>
    <cfRule type="containsText" priority="4" operator="containsText" aboveAverage="0" equalAverage="0" bottom="0" percent="0" rank="0" text="REVIEW" dxfId="10">
      <formula>NOT(ISERROR(SEARCH("REVIEW",B31)))</formula>
    </cfRule>
    <cfRule type="containsText" priority="5" operator="containsText" aboveAverage="0" equalAverage="0" bottom="0" percent="0" rank="0" text="BELOW" dxfId="11">
      <formula>NOT(ISERROR(SEARCH("BELOW",B31)))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5" min="2" style="0" width="25"/>
  </cols>
  <sheetData>
    <row r="1" customFormat="false" ht="30" hidden="false" customHeight="true" outlineLevel="0" collapsed="false">
      <c r="A1" s="87" t="s">
        <v>361</v>
      </c>
      <c r="B1" s="87" t="s">
        <v>361</v>
      </c>
      <c r="C1" s="87" t="s">
        <v>361</v>
      </c>
      <c r="D1" s="87" t="s">
        <v>361</v>
      </c>
      <c r="E1" s="87" t="s">
        <v>361</v>
      </c>
    </row>
    <row r="2" customFormat="false" ht="28.35" hidden="false" customHeight="true" outlineLevel="0" collapsed="false">
      <c r="A2" s="99" t="s">
        <v>362</v>
      </c>
      <c r="B2" s="99"/>
      <c r="C2" s="99"/>
      <c r="D2" s="99"/>
      <c r="E2" s="99"/>
    </row>
    <row r="4" customFormat="false" ht="15" hidden="false" customHeight="false" outlineLevel="0" collapsed="false">
      <c r="A4" s="10" t="s">
        <v>363</v>
      </c>
      <c r="B4" s="11" t="s">
        <v>364</v>
      </c>
      <c r="C4" s="11" t="s">
        <v>365</v>
      </c>
      <c r="D4" s="11" t="s">
        <v>366</v>
      </c>
      <c r="E4" s="12" t="s">
        <v>367</v>
      </c>
    </row>
    <row r="5" customFormat="false" ht="15" hidden="false" customHeight="false" outlineLevel="0" collapsed="false">
      <c r="A5" s="100" t="s">
        <v>368</v>
      </c>
      <c r="B5" s="124" t="n">
        <v>1000000</v>
      </c>
      <c r="C5" s="124" t="n">
        <v>1000000</v>
      </c>
      <c r="D5" s="124" t="n">
        <v>1000000</v>
      </c>
      <c r="E5" s="124" t="n">
        <v>1000000</v>
      </c>
    </row>
    <row r="6" customFormat="false" ht="15" hidden="false" customHeight="false" outlineLevel="0" collapsed="false">
      <c r="A6" s="95" t="s">
        <v>369</v>
      </c>
      <c r="B6" s="125" t="n">
        <v>5000000</v>
      </c>
      <c r="C6" s="125" t="n">
        <v>5000000</v>
      </c>
      <c r="D6" s="125" t="n">
        <v>6000000</v>
      </c>
      <c r="E6" s="125" t="n">
        <v>6000000</v>
      </c>
    </row>
    <row r="7" customFormat="false" ht="15" hidden="false" customHeight="false" outlineLevel="0" collapsed="false">
      <c r="A7" s="95" t="s">
        <v>370</v>
      </c>
      <c r="B7" s="126" t="n">
        <f aca="false">B5/B6</f>
        <v>0.2</v>
      </c>
      <c r="C7" s="126" t="n">
        <f aca="false">C5/C6</f>
        <v>0.2</v>
      </c>
      <c r="D7" s="126" t="n">
        <f aca="false">D5/D6</f>
        <v>0.166666666666667</v>
      </c>
      <c r="E7" s="126" t="n">
        <f aca="false">E5/E6</f>
        <v>0.166666666666667</v>
      </c>
    </row>
    <row r="8" customFormat="false" ht="15" hidden="false" customHeight="false" outlineLevel="0" collapsed="false">
      <c r="A8" s="95" t="s">
        <v>371</v>
      </c>
      <c r="B8" s="125" t="n">
        <v>10000000</v>
      </c>
      <c r="C8" s="125" t="n">
        <v>10000000</v>
      </c>
      <c r="D8" s="125" t="n">
        <v>10000000</v>
      </c>
      <c r="E8" s="125" t="n">
        <v>10000000</v>
      </c>
    </row>
    <row r="9" customFormat="false" ht="15" hidden="false" customHeight="false" outlineLevel="0" collapsed="false">
      <c r="A9" s="95" t="s">
        <v>372</v>
      </c>
      <c r="B9" s="125" t="n">
        <v>30000000</v>
      </c>
      <c r="C9" s="125" t="n">
        <v>40000000</v>
      </c>
      <c r="D9" s="125" t="n">
        <v>30000000</v>
      </c>
      <c r="E9" s="125" t="n">
        <v>40000000</v>
      </c>
    </row>
    <row r="10" customFormat="false" ht="15" hidden="false" customHeight="false" outlineLevel="0" collapsed="false">
      <c r="A10" s="95" t="s">
        <v>373</v>
      </c>
      <c r="B10" s="126" t="n">
        <f aca="false">B8/B9</f>
        <v>0.333333333333333</v>
      </c>
      <c r="C10" s="126" t="n">
        <f aca="false">C8/C9</f>
        <v>0.25</v>
      </c>
      <c r="D10" s="126" t="n">
        <f aca="false">D8/D9</f>
        <v>0.333333333333333</v>
      </c>
      <c r="E10" s="126" t="n">
        <f aca="false">E8/E9</f>
        <v>0.25</v>
      </c>
    </row>
    <row r="11" customFormat="false" ht="15" hidden="false" customHeight="false" outlineLevel="0" collapsed="false">
      <c r="A11" s="95" t="s">
        <v>374</v>
      </c>
      <c r="B11" s="126" t="n">
        <f aca="false">B7*(1-B10)</f>
        <v>0.133333333333333</v>
      </c>
      <c r="C11" s="126" t="n">
        <f aca="false">C7*(1-C10)</f>
        <v>0.15</v>
      </c>
      <c r="D11" s="126" t="n">
        <f aca="false">D7*(1-D10)</f>
        <v>0.111111111111111</v>
      </c>
      <c r="E11" s="126" t="n">
        <f aca="false">E7*(1-E10)</f>
        <v>0.125</v>
      </c>
    </row>
    <row r="12" customFormat="false" ht="15" hidden="false" customHeight="false" outlineLevel="0" collapsed="false">
      <c r="A12" s="105" t="s">
        <v>375</v>
      </c>
      <c r="B12" s="127" t="n">
        <f aca="false">B11*B9</f>
        <v>4000000</v>
      </c>
      <c r="C12" s="127" t="n">
        <f aca="false">C11*C9</f>
        <v>6000000</v>
      </c>
      <c r="D12" s="127" t="n">
        <f aca="false">D11*D9</f>
        <v>3333333.33333333</v>
      </c>
      <c r="E12" s="127" t="n">
        <f aca="false">E11*E9</f>
        <v>5000000</v>
      </c>
    </row>
    <row r="14" customFormat="false" ht="15" hidden="false" customHeight="false" outlineLevel="0" collapsed="false">
      <c r="A14" s="10" t="s">
        <v>376</v>
      </c>
      <c r="B14" s="11"/>
      <c r="C14" s="11"/>
      <c r="D14" s="11"/>
      <c r="E14" s="12"/>
    </row>
    <row r="15" customFormat="false" ht="15" hidden="false" customHeight="true" outlineLevel="0" collapsed="false">
      <c r="A15" s="128" t="s">
        <v>377</v>
      </c>
      <c r="B15" s="128" t="s">
        <v>378</v>
      </c>
      <c r="C15" s="128"/>
      <c r="D15" s="128"/>
      <c r="E15" s="128"/>
    </row>
    <row r="16" customFormat="false" ht="15" hidden="false" customHeight="true" outlineLevel="0" collapsed="false">
      <c r="A16" s="128" t="s">
        <v>379</v>
      </c>
      <c r="B16" s="128" t="s">
        <v>380</v>
      </c>
      <c r="C16" s="128"/>
      <c r="D16" s="128"/>
      <c r="E16" s="128"/>
    </row>
    <row r="17" customFormat="false" ht="15" hidden="false" customHeight="true" outlineLevel="0" collapsed="false">
      <c r="A17" s="128" t="s">
        <v>381</v>
      </c>
      <c r="B17" s="128" t="s">
        <v>382</v>
      </c>
      <c r="C17" s="128"/>
      <c r="D17" s="128"/>
      <c r="E17" s="128"/>
    </row>
  </sheetData>
  <mergeCells count="5">
    <mergeCell ref="A1:E1"/>
    <mergeCell ref="A2:E2"/>
    <mergeCell ref="B15:E15"/>
    <mergeCell ref="B16:E16"/>
    <mergeCell ref="B17:E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7" min="2" style="0" width="20"/>
    <col collapsed="false" customWidth="true" hidden="false" outlineLevel="0" max="8" min="8" style="0" width="24"/>
  </cols>
  <sheetData>
    <row r="1" customFormat="false" ht="30" hidden="false" customHeight="true" outlineLevel="0" collapsed="false">
      <c r="A1" s="87" t="s">
        <v>383</v>
      </c>
      <c r="B1" s="87" t="s">
        <v>383</v>
      </c>
      <c r="C1" s="87" t="s">
        <v>383</v>
      </c>
      <c r="D1" s="87" t="s">
        <v>383</v>
      </c>
      <c r="E1" s="87" t="s">
        <v>383</v>
      </c>
      <c r="F1" s="87" t="s">
        <v>383</v>
      </c>
      <c r="G1" s="87" t="s">
        <v>383</v>
      </c>
      <c r="H1" s="87" t="s">
        <v>383</v>
      </c>
    </row>
    <row r="2" customFormat="false" ht="15" hidden="false" customHeight="true" outlineLevel="0" collapsed="false">
      <c r="A2" s="99" t="s">
        <v>384</v>
      </c>
      <c r="B2" s="99"/>
      <c r="C2" s="99"/>
      <c r="D2" s="99"/>
      <c r="E2" s="99"/>
      <c r="F2" s="99"/>
      <c r="G2" s="99"/>
      <c r="H2" s="99"/>
    </row>
    <row r="4" customFormat="false" ht="15" hidden="false" customHeight="false" outlineLevel="0" collapsed="false">
      <c r="A4" s="10" t="s">
        <v>385</v>
      </c>
      <c r="B4" s="11" t="s">
        <v>386</v>
      </c>
      <c r="C4" s="11" t="s">
        <v>387</v>
      </c>
      <c r="D4" s="11" t="s">
        <v>388</v>
      </c>
      <c r="E4" s="11" t="s">
        <v>389</v>
      </c>
      <c r="F4" s="11" t="s">
        <v>390</v>
      </c>
      <c r="G4" s="11" t="s">
        <v>391</v>
      </c>
      <c r="H4" s="12" t="s">
        <v>312</v>
      </c>
    </row>
    <row r="5" customFormat="false" ht="15" hidden="false" customHeight="false" outlineLevel="0" collapsed="false">
      <c r="A5" s="100" t="s">
        <v>392</v>
      </c>
      <c r="B5" s="124"/>
      <c r="C5" s="124"/>
      <c r="D5" s="124"/>
      <c r="E5" s="101" t="str">
        <f aca="false">IF(COUNT(B5:D5)=0,"",C5-D5)</f>
        <v/>
      </c>
      <c r="F5" s="124"/>
      <c r="G5" s="124"/>
      <c r="H5" s="129" t="s">
        <v>393</v>
      </c>
    </row>
    <row r="6" customFormat="false" ht="15" hidden="false" customHeight="false" outlineLevel="0" collapsed="false">
      <c r="A6" s="95" t="s">
        <v>394</v>
      </c>
      <c r="B6" s="125"/>
      <c r="C6" s="125"/>
      <c r="D6" s="125"/>
      <c r="E6" s="102" t="str">
        <f aca="false">IF(COUNT(B6:D6)=0,"",C6-D6)</f>
        <v/>
      </c>
      <c r="F6" s="125"/>
      <c r="G6" s="125"/>
      <c r="H6" s="130" t="s">
        <v>393</v>
      </c>
    </row>
    <row r="7" customFormat="false" ht="15" hidden="false" customHeight="false" outlineLevel="0" collapsed="false">
      <c r="A7" s="95" t="s">
        <v>395</v>
      </c>
      <c r="B7" s="125"/>
      <c r="C7" s="125"/>
      <c r="D7" s="125"/>
      <c r="E7" s="102" t="str">
        <f aca="false">IF(COUNT(B7:D7)=0,"",C7-D7)</f>
        <v/>
      </c>
      <c r="F7" s="125"/>
      <c r="G7" s="125"/>
      <c r="H7" s="130" t="s">
        <v>393</v>
      </c>
    </row>
    <row r="8" customFormat="false" ht="15" hidden="false" customHeight="false" outlineLevel="0" collapsed="false">
      <c r="A8" s="95" t="s">
        <v>396</v>
      </c>
      <c r="B8" s="125"/>
      <c r="C8" s="125"/>
      <c r="D8" s="125"/>
      <c r="E8" s="102" t="str">
        <f aca="false">IF(COUNT(B8:D8)=0,"",C8-D8)</f>
        <v/>
      </c>
      <c r="F8" s="125"/>
      <c r="G8" s="125"/>
      <c r="H8" s="130" t="s">
        <v>393</v>
      </c>
    </row>
    <row r="9" customFormat="false" ht="15" hidden="false" customHeight="false" outlineLevel="0" collapsed="false">
      <c r="A9" s="95" t="s">
        <v>397</v>
      </c>
      <c r="B9" s="125"/>
      <c r="C9" s="125"/>
      <c r="D9" s="125"/>
      <c r="E9" s="102" t="str">
        <f aca="false">IF(COUNT(B9:D9)=0,"",C9-D9)</f>
        <v/>
      </c>
      <c r="F9" s="125"/>
      <c r="G9" s="125"/>
      <c r="H9" s="130" t="s">
        <v>393</v>
      </c>
    </row>
    <row r="10" customFormat="false" ht="15" hidden="false" customHeight="false" outlineLevel="0" collapsed="false">
      <c r="A10" s="95" t="s">
        <v>398</v>
      </c>
      <c r="B10" s="125"/>
      <c r="C10" s="125"/>
      <c r="D10" s="125"/>
      <c r="E10" s="102" t="str">
        <f aca="false">IF(COUNT(B10:D10)=0,"",C10-D10)</f>
        <v/>
      </c>
      <c r="F10" s="125"/>
      <c r="G10" s="125"/>
      <c r="H10" s="130" t="s">
        <v>393</v>
      </c>
    </row>
    <row r="11" customFormat="false" ht="15" hidden="false" customHeight="false" outlineLevel="0" collapsed="false">
      <c r="A11" s="95" t="s">
        <v>399</v>
      </c>
      <c r="B11" s="125"/>
      <c r="C11" s="125"/>
      <c r="D11" s="125"/>
      <c r="E11" s="102" t="str">
        <f aca="false">IF(COUNT(B11:D11)=0,"",C11-D11)</f>
        <v/>
      </c>
      <c r="F11" s="125"/>
      <c r="G11" s="125"/>
      <c r="H11" s="130" t="s">
        <v>393</v>
      </c>
    </row>
    <row r="12" customFormat="false" ht="15" hidden="false" customHeight="false" outlineLevel="0" collapsed="false">
      <c r="A12" s="95" t="s">
        <v>400</v>
      </c>
      <c r="B12" s="125"/>
      <c r="C12" s="125"/>
      <c r="D12" s="125"/>
      <c r="E12" s="102" t="str">
        <f aca="false">IF(COUNT(B12:D12)=0,"",C12-D12)</f>
        <v/>
      </c>
      <c r="F12" s="125"/>
      <c r="G12" s="125"/>
      <c r="H12" s="130" t="s">
        <v>393</v>
      </c>
    </row>
    <row r="13" customFormat="false" ht="15" hidden="false" customHeight="false" outlineLevel="0" collapsed="false">
      <c r="A13" s="95" t="s">
        <v>401</v>
      </c>
      <c r="B13" s="125"/>
      <c r="C13" s="125"/>
      <c r="D13" s="125"/>
      <c r="E13" s="102" t="str">
        <f aca="false">IF(COUNT(B13:D13)=0,"",C13-D13)</f>
        <v/>
      </c>
      <c r="F13" s="125"/>
      <c r="G13" s="125"/>
      <c r="H13" s="130" t="s">
        <v>393</v>
      </c>
    </row>
    <row r="14" customFormat="false" ht="15" hidden="false" customHeight="false" outlineLevel="0" collapsed="false">
      <c r="A14" s="95" t="s">
        <v>402</v>
      </c>
      <c r="B14" s="125"/>
      <c r="C14" s="125"/>
      <c r="D14" s="125"/>
      <c r="E14" s="102" t="str">
        <f aca="false">IF(COUNT(B14:D14)=0,"",C14-D14)</f>
        <v/>
      </c>
      <c r="F14" s="125"/>
      <c r="G14" s="125"/>
      <c r="H14" s="130" t="s">
        <v>393</v>
      </c>
    </row>
    <row r="15" customFormat="false" ht="15" hidden="false" customHeight="false" outlineLevel="0" collapsed="false">
      <c r="A15" s="95" t="s">
        <v>403</v>
      </c>
      <c r="B15" s="125"/>
      <c r="C15" s="125"/>
      <c r="D15" s="125"/>
      <c r="E15" s="102" t="str">
        <f aca="false">IF(COUNT(B15:D15)=0,"",C15-D15)</f>
        <v/>
      </c>
      <c r="F15" s="125"/>
      <c r="G15" s="125"/>
      <c r="H15" s="130" t="s">
        <v>393</v>
      </c>
    </row>
    <row r="16" customFormat="false" ht="15" hidden="false" customHeight="false" outlineLevel="0" collapsed="false">
      <c r="A16" s="95" t="s">
        <v>404</v>
      </c>
      <c r="B16" s="125"/>
      <c r="C16" s="125"/>
      <c r="D16" s="125"/>
      <c r="E16" s="102" t="str">
        <f aca="false">IF(COUNT(B16:D16)=0,"",C16-D16)</f>
        <v/>
      </c>
      <c r="F16" s="125"/>
      <c r="G16" s="125"/>
      <c r="H16" s="130" t="s">
        <v>393</v>
      </c>
    </row>
    <row r="17" customFormat="false" ht="15" hidden="false" customHeight="false" outlineLevel="0" collapsed="false">
      <c r="A17" s="95" t="s">
        <v>405</v>
      </c>
      <c r="B17" s="125"/>
      <c r="C17" s="125"/>
      <c r="D17" s="125"/>
      <c r="E17" s="102" t="str">
        <f aca="false">IF(COUNT(B17:D17)=0,"",C17-D17)</f>
        <v/>
      </c>
      <c r="F17" s="125"/>
      <c r="G17" s="125"/>
      <c r="H17" s="130" t="s">
        <v>393</v>
      </c>
    </row>
    <row r="18" customFormat="false" ht="15" hidden="false" customHeight="false" outlineLevel="0" collapsed="false">
      <c r="A18" s="95" t="s">
        <v>406</v>
      </c>
      <c r="B18" s="125"/>
      <c r="C18" s="125"/>
      <c r="D18" s="125"/>
      <c r="E18" s="102" t="str">
        <f aca="false">IF(COUNT(B18:D18)=0,"",C18-D18)</f>
        <v/>
      </c>
      <c r="F18" s="125"/>
      <c r="G18" s="125"/>
      <c r="H18" s="130" t="s">
        <v>393</v>
      </c>
    </row>
    <row r="19" customFormat="false" ht="15" hidden="false" customHeight="false" outlineLevel="0" collapsed="false">
      <c r="A19" s="95" t="s">
        <v>407</v>
      </c>
      <c r="B19" s="125"/>
      <c r="C19" s="125"/>
      <c r="D19" s="125"/>
      <c r="E19" s="102" t="str">
        <f aca="false">IF(COUNT(B19:D19)=0,"",C19-D19)</f>
        <v/>
      </c>
      <c r="F19" s="125"/>
      <c r="G19" s="125"/>
      <c r="H19" s="130" t="s">
        <v>393</v>
      </c>
    </row>
    <row r="20" customFormat="false" ht="15" hidden="false" customHeight="false" outlineLevel="0" collapsed="false">
      <c r="A20" s="95" t="s">
        <v>408</v>
      </c>
      <c r="B20" s="125"/>
      <c r="C20" s="125"/>
      <c r="D20" s="125"/>
      <c r="E20" s="102" t="str">
        <f aca="false">IF(COUNT(B20:D20)=0,"",C20-D20)</f>
        <v/>
      </c>
      <c r="F20" s="125"/>
      <c r="G20" s="125"/>
      <c r="H20" s="130" t="s">
        <v>393</v>
      </c>
    </row>
    <row r="21" customFormat="false" ht="15" hidden="false" customHeight="false" outlineLevel="0" collapsed="false">
      <c r="A21" s="95" t="s">
        <v>409</v>
      </c>
      <c r="B21" s="125"/>
      <c r="C21" s="125"/>
      <c r="D21" s="125"/>
      <c r="E21" s="102" t="str">
        <f aca="false">IF(COUNT(B21:D21)=0,"",C21-D21)</f>
        <v/>
      </c>
      <c r="F21" s="125"/>
      <c r="G21" s="125"/>
      <c r="H21" s="130" t="s">
        <v>393</v>
      </c>
    </row>
    <row r="22" customFormat="false" ht="15" hidden="false" customHeight="false" outlineLevel="0" collapsed="false">
      <c r="A22" s="95" t="s">
        <v>410</v>
      </c>
      <c r="B22" s="125"/>
      <c r="C22" s="125"/>
      <c r="D22" s="125"/>
      <c r="E22" s="102" t="str">
        <f aca="false">IF(COUNT(B22:D22)=0,"",C22-D22)</f>
        <v/>
      </c>
      <c r="F22" s="125"/>
      <c r="G22" s="125"/>
      <c r="H22" s="130" t="s">
        <v>393</v>
      </c>
    </row>
    <row r="23" customFormat="false" ht="15" hidden="false" customHeight="false" outlineLevel="0" collapsed="false">
      <c r="A23" s="95" t="s">
        <v>411</v>
      </c>
      <c r="B23" s="125"/>
      <c r="C23" s="125"/>
      <c r="D23" s="125"/>
      <c r="E23" s="102" t="str">
        <f aca="false">IF(COUNT(B23:D23)=0,"",C23-D23)</f>
        <v/>
      </c>
      <c r="F23" s="125"/>
      <c r="G23" s="125"/>
      <c r="H23" s="130" t="s">
        <v>393</v>
      </c>
    </row>
    <row r="24" customFormat="false" ht="15" hidden="false" customHeight="false" outlineLevel="0" collapsed="false">
      <c r="A24" s="95" t="s">
        <v>412</v>
      </c>
      <c r="B24" s="125"/>
      <c r="C24" s="125"/>
      <c r="D24" s="125"/>
      <c r="E24" s="102" t="str">
        <f aca="false">IF(COUNT(B24:D24)=0,"",C24-D24)</f>
        <v/>
      </c>
      <c r="F24" s="125"/>
      <c r="G24" s="125"/>
      <c r="H24" s="130" t="s">
        <v>393</v>
      </c>
    </row>
    <row r="25" customFormat="false" ht="15" hidden="false" customHeight="false" outlineLevel="0" collapsed="false">
      <c r="A25" s="95" t="s">
        <v>413</v>
      </c>
      <c r="B25" s="125"/>
      <c r="C25" s="125"/>
      <c r="D25" s="125"/>
      <c r="E25" s="102" t="str">
        <f aca="false">IF(COUNT(B25:D25)=0,"",C25-D25)</f>
        <v/>
      </c>
      <c r="F25" s="125"/>
      <c r="G25" s="125"/>
      <c r="H25" s="130" t="s">
        <v>393</v>
      </c>
    </row>
    <row r="26" customFormat="false" ht="15" hidden="false" customHeight="false" outlineLevel="0" collapsed="false">
      <c r="A26" s="95" t="s">
        <v>414</v>
      </c>
      <c r="B26" s="125"/>
      <c r="C26" s="125"/>
      <c r="D26" s="125"/>
      <c r="E26" s="102" t="str">
        <f aca="false">IF(COUNT(B26:D26)=0,"",C26-D26)</f>
        <v/>
      </c>
      <c r="F26" s="125"/>
      <c r="G26" s="125"/>
      <c r="H26" s="130" t="s">
        <v>393</v>
      </c>
    </row>
    <row r="27" customFormat="false" ht="15" hidden="false" customHeight="false" outlineLevel="0" collapsed="false">
      <c r="A27" s="95" t="s">
        <v>415</v>
      </c>
      <c r="B27" s="125"/>
      <c r="C27" s="125"/>
      <c r="D27" s="125"/>
      <c r="E27" s="102" t="str">
        <f aca="false">IF(COUNT(B27:D27)=0,"",C27-D27)</f>
        <v/>
      </c>
      <c r="F27" s="125"/>
      <c r="G27" s="125"/>
      <c r="H27" s="130" t="s">
        <v>393</v>
      </c>
    </row>
    <row r="28" customFormat="false" ht="15" hidden="false" customHeight="false" outlineLevel="0" collapsed="false">
      <c r="A28" s="105" t="s">
        <v>416</v>
      </c>
      <c r="B28" s="131"/>
      <c r="C28" s="131"/>
      <c r="D28" s="131"/>
      <c r="E28" s="127" t="str">
        <f aca="false">IF(COUNT(B28:D28)=0,"",C28-D28)</f>
        <v/>
      </c>
      <c r="F28" s="131"/>
      <c r="G28" s="131"/>
      <c r="H28" s="132" t="s">
        <v>393</v>
      </c>
    </row>
  </sheetData>
  <mergeCells count="2">
    <mergeCell ref="A1:H1"/>
    <mergeCell ref="A2:H2"/>
  </mergeCells>
  <dataValidations count="1">
    <dataValidation allowBlank="false" errorStyle="stop" operator="between" showDropDown="false" showErrorMessage="false" showInputMessage="false" sqref="H5:H28" type="list">
      <formula1>"Pending,Management reviewed,Validated"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  <col collapsed="false" customWidth="true" hidden="false" outlineLevel="0" max="8" min="3" style="0" width="16"/>
    <col collapsed="false" customWidth="true" hidden="false" outlineLevel="0" max="9" min="9" style="0" width="46"/>
    <col collapsed="false" customWidth="true" hidden="false" outlineLevel="0" max="10" min="10" style="0" width="22"/>
  </cols>
  <sheetData>
    <row r="1" customFormat="false" ht="30" hidden="false" customHeight="true" outlineLevel="0" collapsed="false">
      <c r="A1" s="133" t="s">
        <v>417</v>
      </c>
      <c r="B1" s="133" t="s">
        <v>417</v>
      </c>
      <c r="C1" s="133" t="s">
        <v>417</v>
      </c>
      <c r="D1" s="133" t="s">
        <v>417</v>
      </c>
      <c r="E1" s="133" t="s">
        <v>417</v>
      </c>
      <c r="F1" s="133" t="s">
        <v>417</v>
      </c>
      <c r="G1" s="133" t="s">
        <v>417</v>
      </c>
      <c r="H1" s="133" t="s">
        <v>417</v>
      </c>
      <c r="I1" s="133" t="s">
        <v>417</v>
      </c>
      <c r="J1" s="133" t="s">
        <v>417</v>
      </c>
    </row>
    <row r="2" customFormat="false" ht="15" hidden="false" customHeight="true" outlineLevel="0" collapsed="false">
      <c r="A2" s="99" t="s">
        <v>418</v>
      </c>
      <c r="B2" s="99"/>
      <c r="C2" s="99"/>
      <c r="D2" s="99"/>
      <c r="E2" s="99"/>
      <c r="F2" s="99"/>
      <c r="G2" s="99"/>
      <c r="H2" s="99"/>
      <c r="I2" s="99"/>
      <c r="J2" s="99"/>
    </row>
    <row r="3" customFormat="false" ht="15" hidden="false" customHeight="false" outlineLevel="0" collapsed="false">
      <c r="A3" s="22"/>
      <c r="B3" s="22"/>
      <c r="C3" s="22"/>
      <c r="D3" s="22"/>
      <c r="E3" s="22"/>
      <c r="F3" s="22"/>
      <c r="G3" s="22"/>
      <c r="H3" s="22"/>
      <c r="I3" s="22"/>
      <c r="J3" s="22"/>
    </row>
    <row r="4" customFormat="false" ht="15" hidden="false" customHeight="false" outlineLevel="0" collapsed="false">
      <c r="A4" s="19" t="s">
        <v>419</v>
      </c>
      <c r="B4" s="20" t="s">
        <v>420</v>
      </c>
      <c r="C4" s="20" t="s">
        <v>421</v>
      </c>
      <c r="D4" s="20" t="s">
        <v>422</v>
      </c>
      <c r="E4" s="20" t="s">
        <v>423</v>
      </c>
      <c r="F4" s="20" t="s">
        <v>424</v>
      </c>
      <c r="G4" s="20" t="s">
        <v>425</v>
      </c>
      <c r="H4" s="20" t="s">
        <v>426</v>
      </c>
      <c r="I4" s="20" t="s">
        <v>427</v>
      </c>
      <c r="J4" s="21" t="s">
        <v>312</v>
      </c>
    </row>
    <row r="5" customFormat="false" ht="15" hidden="false" customHeight="false" outlineLevel="0" collapsed="false">
      <c r="A5" s="134" t="s">
        <v>428</v>
      </c>
      <c r="B5" s="134" t="s">
        <v>429</v>
      </c>
      <c r="C5" s="134" t="n">
        <v>50</v>
      </c>
      <c r="D5" s="134" t="n">
        <v>5</v>
      </c>
      <c r="E5" s="134" t="n">
        <v>10</v>
      </c>
      <c r="F5" s="134" t="n">
        <v>15</v>
      </c>
      <c r="G5" s="134" t="n">
        <v>20</v>
      </c>
      <c r="H5" s="134" t="n">
        <v>20</v>
      </c>
      <c r="I5" s="134" t="s">
        <v>430</v>
      </c>
      <c r="J5" s="134" t="s">
        <v>431</v>
      </c>
    </row>
    <row r="6" customFormat="false" ht="15" hidden="false" customHeight="false" outlineLevel="0" collapsed="false">
      <c r="A6" s="135" t="s">
        <v>432</v>
      </c>
      <c r="B6" s="135"/>
      <c r="C6" s="135"/>
      <c r="D6" s="135"/>
      <c r="E6" s="135"/>
      <c r="F6" s="135"/>
      <c r="G6" s="135"/>
      <c r="H6" s="135"/>
      <c r="I6" s="135"/>
      <c r="J6" s="135" t="s">
        <v>393</v>
      </c>
    </row>
    <row r="7" customFormat="false" ht="15" hidden="false" customHeight="false" outlineLevel="0" collapsed="false">
      <c r="A7" s="135" t="s">
        <v>433</v>
      </c>
      <c r="B7" s="135"/>
      <c r="C7" s="135"/>
      <c r="D7" s="135"/>
      <c r="E7" s="135"/>
      <c r="F7" s="135"/>
      <c r="G7" s="135"/>
      <c r="H7" s="135"/>
      <c r="I7" s="135"/>
      <c r="J7" s="135" t="s">
        <v>393</v>
      </c>
    </row>
    <row r="8" customFormat="false" ht="15" hidden="false" customHeight="false" outlineLevel="0" collapsed="false">
      <c r="A8" s="135" t="s">
        <v>434</v>
      </c>
      <c r="B8" s="135"/>
      <c r="C8" s="135"/>
      <c r="D8" s="135"/>
      <c r="E8" s="135"/>
      <c r="F8" s="135"/>
      <c r="G8" s="135"/>
      <c r="H8" s="135"/>
      <c r="I8" s="135"/>
      <c r="J8" s="135" t="s">
        <v>393</v>
      </c>
    </row>
    <row r="9" customFormat="false" ht="15" hidden="false" customHeight="false" outlineLevel="0" collapsed="false">
      <c r="A9" s="135" t="s">
        <v>435</v>
      </c>
      <c r="B9" s="135"/>
      <c r="C9" s="135"/>
      <c r="D9" s="135"/>
      <c r="E9" s="135"/>
      <c r="F9" s="135"/>
      <c r="G9" s="135"/>
      <c r="H9" s="135"/>
      <c r="I9" s="135"/>
      <c r="J9" s="135" t="s">
        <v>393</v>
      </c>
    </row>
    <row r="10" customFormat="false" ht="15" hidden="false" customHeight="false" outlineLevel="0" collapsed="false">
      <c r="A10" s="135" t="s">
        <v>436</v>
      </c>
      <c r="B10" s="135"/>
      <c r="C10" s="135"/>
      <c r="D10" s="135"/>
      <c r="E10" s="135"/>
      <c r="F10" s="135"/>
      <c r="G10" s="135"/>
      <c r="H10" s="135"/>
      <c r="I10" s="135"/>
      <c r="J10" s="135" t="s">
        <v>393</v>
      </c>
    </row>
    <row r="11" customFormat="false" ht="15" hidden="false" customHeight="false" outlineLevel="0" collapsed="false">
      <c r="A11" s="135" t="s">
        <v>437</v>
      </c>
      <c r="B11" s="135"/>
      <c r="C11" s="135"/>
      <c r="D11" s="135"/>
      <c r="E11" s="135"/>
      <c r="F11" s="135"/>
      <c r="G11" s="135"/>
      <c r="H11" s="135"/>
      <c r="I11" s="135"/>
      <c r="J11" s="135" t="s">
        <v>393</v>
      </c>
    </row>
    <row r="12" customFormat="false" ht="15" hidden="false" customHeight="false" outlineLevel="0" collapsed="false">
      <c r="A12" s="135" t="s">
        <v>438</v>
      </c>
      <c r="B12" s="135"/>
      <c r="C12" s="135"/>
      <c r="D12" s="135"/>
      <c r="E12" s="135"/>
      <c r="F12" s="135"/>
      <c r="G12" s="135"/>
      <c r="H12" s="135"/>
      <c r="I12" s="135"/>
      <c r="J12" s="135" t="s">
        <v>393</v>
      </c>
    </row>
    <row r="13" customFormat="false" ht="15" hidden="false" customHeight="false" outlineLevel="0" collapsed="false">
      <c r="A13" s="135" t="s">
        <v>439</v>
      </c>
      <c r="B13" s="135"/>
      <c r="C13" s="135"/>
      <c r="D13" s="135"/>
      <c r="E13" s="135"/>
      <c r="F13" s="135"/>
      <c r="G13" s="135"/>
      <c r="H13" s="135"/>
      <c r="I13" s="135"/>
      <c r="J13" s="135" t="s">
        <v>393</v>
      </c>
    </row>
    <row r="14" customFormat="false" ht="15" hidden="false" customHeight="false" outlineLevel="0" collapsed="false">
      <c r="A14" s="135" t="s">
        <v>440</v>
      </c>
      <c r="B14" s="135"/>
      <c r="C14" s="135"/>
      <c r="D14" s="135"/>
      <c r="E14" s="135"/>
      <c r="F14" s="135"/>
      <c r="G14" s="135"/>
      <c r="H14" s="135"/>
      <c r="I14" s="135"/>
      <c r="J14" s="135" t="s">
        <v>393</v>
      </c>
    </row>
    <row r="15" customFormat="false" ht="15" hidden="false" customHeight="false" outlineLevel="0" collapsed="false">
      <c r="A15" s="135" t="s">
        <v>441</v>
      </c>
      <c r="B15" s="135"/>
      <c r="C15" s="135"/>
      <c r="D15" s="135"/>
      <c r="E15" s="135"/>
      <c r="F15" s="135"/>
      <c r="G15" s="135"/>
      <c r="H15" s="135"/>
      <c r="I15" s="135"/>
      <c r="J15" s="135" t="s">
        <v>393</v>
      </c>
    </row>
    <row r="16" customFormat="false" ht="15" hidden="false" customHeight="false" outlineLevel="0" collapsed="false">
      <c r="A16" s="135" t="s">
        <v>442</v>
      </c>
      <c r="B16" s="135"/>
      <c r="C16" s="135"/>
      <c r="D16" s="135"/>
      <c r="E16" s="135"/>
      <c r="F16" s="135"/>
      <c r="G16" s="135"/>
      <c r="H16" s="135"/>
      <c r="I16" s="135"/>
      <c r="J16" s="135" t="s">
        <v>393</v>
      </c>
    </row>
    <row r="17" customFormat="false" ht="15" hidden="false" customHeight="false" outlineLevel="0" collapsed="false">
      <c r="A17" s="135" t="s">
        <v>443</v>
      </c>
      <c r="B17" s="135"/>
      <c r="C17" s="135"/>
      <c r="D17" s="135"/>
      <c r="E17" s="135"/>
      <c r="F17" s="135"/>
      <c r="G17" s="135"/>
      <c r="H17" s="135"/>
      <c r="I17" s="135"/>
      <c r="J17" s="135" t="s">
        <v>393</v>
      </c>
    </row>
    <row r="18" customFormat="false" ht="15" hidden="false" customHeight="false" outlineLevel="0" collapsed="false">
      <c r="A18" s="135" t="s">
        <v>444</v>
      </c>
      <c r="B18" s="135"/>
      <c r="C18" s="135"/>
      <c r="D18" s="135"/>
      <c r="E18" s="135"/>
      <c r="F18" s="135"/>
      <c r="G18" s="135"/>
      <c r="H18" s="135"/>
      <c r="I18" s="135"/>
      <c r="J18" s="135" t="s">
        <v>393</v>
      </c>
    </row>
    <row r="19" customFormat="false" ht="15" hidden="false" customHeight="false" outlineLevel="0" collapsed="false">
      <c r="A19" s="135" t="s">
        <v>445</v>
      </c>
      <c r="B19" s="135"/>
      <c r="C19" s="135"/>
      <c r="D19" s="135"/>
      <c r="E19" s="135"/>
      <c r="F19" s="135"/>
      <c r="G19" s="135"/>
      <c r="H19" s="135"/>
      <c r="I19" s="135"/>
      <c r="J19" s="135" t="s">
        <v>393</v>
      </c>
    </row>
    <row r="20" customFormat="false" ht="15" hidden="false" customHeight="false" outlineLevel="0" collapsed="false">
      <c r="A20" s="136" t="s">
        <v>446</v>
      </c>
      <c r="B20" s="136"/>
      <c r="C20" s="136"/>
      <c r="D20" s="136"/>
      <c r="E20" s="136"/>
      <c r="F20" s="136"/>
      <c r="G20" s="136"/>
      <c r="H20" s="136"/>
      <c r="I20" s="136"/>
      <c r="J20" s="136" t="s">
        <v>393</v>
      </c>
    </row>
  </sheetData>
  <mergeCells count="2">
    <mergeCell ref="A1:J1"/>
    <mergeCell ref="A2:J2"/>
  </mergeCells>
  <dataValidations count="1">
    <dataValidation allowBlank="false" errorStyle="stop" operator="between" showDropDown="false" showErrorMessage="false" showInputMessage="false" sqref="J5:J20" type="list">
      <formula1>"Reference only,Pending,Management reviewed,Validated"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19"/>
    <col collapsed="false" customWidth="true" hidden="false" outlineLevel="0" max="7" min="7" style="0" width="58"/>
    <col collapsed="false" customWidth="true" hidden="false" outlineLevel="0" max="8" min="8" style="0" width="20"/>
    <col collapsed="false" customWidth="true" hidden="false" outlineLevel="0" max="9" min="9" style="0" width="62"/>
  </cols>
  <sheetData>
    <row r="1" customFormat="false" ht="30" hidden="false" customHeight="true" outlineLevel="0" collapsed="false">
      <c r="A1" s="87" t="s">
        <v>447</v>
      </c>
      <c r="B1" s="87" t="s">
        <v>447</v>
      </c>
      <c r="C1" s="87" t="s">
        <v>447</v>
      </c>
      <c r="D1" s="87" t="s">
        <v>447</v>
      </c>
      <c r="E1" s="87" t="s">
        <v>447</v>
      </c>
      <c r="F1" s="87" t="s">
        <v>447</v>
      </c>
      <c r="G1" s="87" t="s">
        <v>447</v>
      </c>
      <c r="H1" s="87" t="s">
        <v>447</v>
      </c>
      <c r="I1" s="87" t="s">
        <v>447</v>
      </c>
    </row>
    <row r="2" customFormat="false" ht="15" hidden="false" customHeight="true" outlineLevel="0" collapsed="false">
      <c r="A2" s="88" t="s">
        <v>448</v>
      </c>
      <c r="B2" s="88"/>
      <c r="C2" s="88"/>
      <c r="D2" s="88"/>
      <c r="E2" s="88"/>
      <c r="F2" s="88"/>
      <c r="G2" s="88"/>
      <c r="H2" s="88"/>
      <c r="I2" s="88"/>
    </row>
    <row r="4" customFormat="false" ht="15" hidden="false" customHeight="false" outlineLevel="0" collapsed="false">
      <c r="A4" s="19" t="s">
        <v>449</v>
      </c>
      <c r="B4" s="20" t="s">
        <v>450</v>
      </c>
      <c r="C4" s="20" t="s">
        <v>451</v>
      </c>
      <c r="D4" s="20" t="s">
        <v>312</v>
      </c>
      <c r="E4" s="20" t="s">
        <v>452</v>
      </c>
      <c r="F4" s="20" t="s">
        <v>453</v>
      </c>
      <c r="G4" s="20" t="s">
        <v>454</v>
      </c>
      <c r="H4" s="20" t="s">
        <v>455</v>
      </c>
      <c r="I4" s="21" t="s">
        <v>456</v>
      </c>
    </row>
    <row r="5" customFormat="false" ht="23.85" hidden="false" customHeight="false" outlineLevel="0" collapsed="false">
      <c r="A5" s="137" t="s">
        <v>457</v>
      </c>
      <c r="B5" s="137" t="s">
        <v>458</v>
      </c>
      <c r="C5" s="137" t="s">
        <v>459</v>
      </c>
      <c r="D5" s="137" t="s">
        <v>460</v>
      </c>
      <c r="E5" s="137" t="s">
        <v>461</v>
      </c>
      <c r="F5" s="137" t="s">
        <v>462</v>
      </c>
      <c r="G5" s="137" t="s">
        <v>463</v>
      </c>
      <c r="H5" s="137" t="s">
        <v>464</v>
      </c>
      <c r="I5" s="137" t="s">
        <v>465</v>
      </c>
    </row>
    <row r="6" customFormat="false" ht="15" hidden="false" customHeight="false" outlineLevel="0" collapsed="false">
      <c r="A6" s="138" t="s">
        <v>466</v>
      </c>
      <c r="B6" s="138" t="s">
        <v>467</v>
      </c>
      <c r="C6" s="138" t="s">
        <v>468</v>
      </c>
      <c r="D6" s="138" t="s">
        <v>469</v>
      </c>
      <c r="E6" s="138" t="s">
        <v>470</v>
      </c>
      <c r="F6" s="138" t="s">
        <v>471</v>
      </c>
      <c r="G6" s="138" t="s">
        <v>472</v>
      </c>
      <c r="H6" s="138" t="s">
        <v>473</v>
      </c>
      <c r="I6" s="138" t="s">
        <v>474</v>
      </c>
    </row>
    <row r="7" customFormat="false" ht="23.85" hidden="false" customHeight="false" outlineLevel="0" collapsed="false">
      <c r="A7" s="138" t="s">
        <v>475</v>
      </c>
      <c r="B7" s="138" t="s">
        <v>476</v>
      </c>
      <c r="C7" s="138" t="s">
        <v>477</v>
      </c>
      <c r="D7" s="138" t="s">
        <v>469</v>
      </c>
      <c r="E7" s="138" t="s">
        <v>478</v>
      </c>
      <c r="F7" s="138" t="s">
        <v>479</v>
      </c>
      <c r="G7" s="138" t="s">
        <v>480</v>
      </c>
      <c r="H7" s="138" t="s">
        <v>481</v>
      </c>
      <c r="I7" s="138" t="s">
        <v>482</v>
      </c>
    </row>
    <row r="8" customFormat="false" ht="15" hidden="false" customHeight="false" outlineLevel="0" collapsed="false">
      <c r="A8" s="138" t="s">
        <v>483</v>
      </c>
      <c r="B8" s="138" t="s">
        <v>484</v>
      </c>
      <c r="C8" s="138" t="s">
        <v>468</v>
      </c>
      <c r="D8" s="138" t="s">
        <v>469</v>
      </c>
      <c r="E8" s="138" t="s">
        <v>485</v>
      </c>
      <c r="F8" s="138" t="s">
        <v>486</v>
      </c>
      <c r="G8" s="138" t="s">
        <v>487</v>
      </c>
      <c r="H8" s="138" t="s">
        <v>464</v>
      </c>
      <c r="I8" s="138" t="s">
        <v>488</v>
      </c>
    </row>
    <row r="9" customFormat="false" ht="15" hidden="false" customHeight="false" outlineLevel="0" collapsed="false">
      <c r="A9" s="138" t="s">
        <v>489</v>
      </c>
      <c r="B9" s="138" t="s">
        <v>490</v>
      </c>
      <c r="C9" s="138" t="s">
        <v>491</v>
      </c>
      <c r="D9" s="138" t="s">
        <v>469</v>
      </c>
      <c r="E9" s="138" t="s">
        <v>492</v>
      </c>
      <c r="F9" s="138" t="s">
        <v>493</v>
      </c>
      <c r="G9" s="138" t="s">
        <v>494</v>
      </c>
      <c r="H9" s="138" t="s">
        <v>491</v>
      </c>
      <c r="I9" s="138" t="s">
        <v>495</v>
      </c>
    </row>
    <row r="10" customFormat="false" ht="15" hidden="false" customHeight="false" outlineLevel="0" collapsed="false">
      <c r="A10" s="138" t="s">
        <v>496</v>
      </c>
      <c r="B10" s="138" t="s">
        <v>497</v>
      </c>
      <c r="C10" s="138" t="s">
        <v>498</v>
      </c>
      <c r="D10" s="138" t="s">
        <v>469</v>
      </c>
      <c r="E10" s="138" t="s">
        <v>499</v>
      </c>
      <c r="F10" s="138" t="s">
        <v>500</v>
      </c>
      <c r="G10" s="138" t="s">
        <v>501</v>
      </c>
      <c r="H10" s="138" t="s">
        <v>502</v>
      </c>
      <c r="I10" s="138" t="s">
        <v>495</v>
      </c>
    </row>
    <row r="11" customFormat="false" ht="15" hidden="false" customHeight="false" outlineLevel="0" collapsed="false">
      <c r="A11" s="138" t="s">
        <v>503</v>
      </c>
      <c r="B11" s="138" t="s">
        <v>504</v>
      </c>
      <c r="C11" s="138" t="s">
        <v>498</v>
      </c>
      <c r="D11" s="138" t="s">
        <v>469</v>
      </c>
      <c r="E11" s="138" t="s">
        <v>505</v>
      </c>
      <c r="F11" s="138" t="s">
        <v>506</v>
      </c>
      <c r="G11" s="138" t="s">
        <v>507</v>
      </c>
      <c r="H11" s="138" t="s">
        <v>491</v>
      </c>
      <c r="I11" s="138" t="s">
        <v>495</v>
      </c>
    </row>
    <row r="12" customFormat="false" ht="15" hidden="false" customHeight="false" outlineLevel="0" collapsed="false">
      <c r="A12" s="138" t="s">
        <v>508</v>
      </c>
      <c r="B12" s="138" t="s">
        <v>509</v>
      </c>
      <c r="C12" s="138" t="s">
        <v>510</v>
      </c>
      <c r="D12" s="138" t="s">
        <v>469</v>
      </c>
      <c r="E12" s="138" t="s">
        <v>511</v>
      </c>
      <c r="F12" s="138" t="s">
        <v>479</v>
      </c>
      <c r="G12" s="138" t="s">
        <v>512</v>
      </c>
      <c r="H12" s="138" t="s">
        <v>513</v>
      </c>
      <c r="I12" s="138" t="s">
        <v>514</v>
      </c>
    </row>
    <row r="13" customFormat="false" ht="23.85" hidden="false" customHeight="false" outlineLevel="0" collapsed="false">
      <c r="A13" s="138" t="s">
        <v>515</v>
      </c>
      <c r="B13" s="138" t="s">
        <v>516</v>
      </c>
      <c r="C13" s="138" t="s">
        <v>517</v>
      </c>
      <c r="D13" s="138" t="s">
        <v>469</v>
      </c>
      <c r="E13" s="138" t="s">
        <v>518</v>
      </c>
      <c r="F13" s="138" t="s">
        <v>519</v>
      </c>
      <c r="G13" s="138" t="s">
        <v>520</v>
      </c>
      <c r="H13" s="138" t="s">
        <v>521</v>
      </c>
      <c r="I13" s="138" t="s">
        <v>522</v>
      </c>
    </row>
    <row r="14" customFormat="false" ht="15" hidden="false" customHeight="false" outlineLevel="0" collapsed="false">
      <c r="A14" s="138" t="s">
        <v>523</v>
      </c>
      <c r="B14" s="138" t="s">
        <v>524</v>
      </c>
      <c r="C14" s="138" t="s">
        <v>491</v>
      </c>
      <c r="D14" s="138" t="s">
        <v>469</v>
      </c>
      <c r="E14" s="138" t="s">
        <v>525</v>
      </c>
      <c r="F14" s="138" t="s">
        <v>479</v>
      </c>
      <c r="G14" s="138" t="s">
        <v>526</v>
      </c>
      <c r="H14" s="138" t="s">
        <v>491</v>
      </c>
      <c r="I14" s="138" t="s">
        <v>495</v>
      </c>
    </row>
    <row r="15" customFormat="false" ht="23.85" hidden="false" customHeight="false" outlineLevel="0" collapsed="false">
      <c r="A15" s="138" t="s">
        <v>527</v>
      </c>
      <c r="B15" s="138" t="s">
        <v>528</v>
      </c>
      <c r="C15" s="138" t="s">
        <v>529</v>
      </c>
      <c r="D15" s="138" t="s">
        <v>530</v>
      </c>
      <c r="E15" s="138" t="s">
        <v>531</v>
      </c>
      <c r="F15" s="138" t="s">
        <v>532</v>
      </c>
      <c r="G15" s="138" t="s">
        <v>533</v>
      </c>
      <c r="H15" s="138" t="s">
        <v>464</v>
      </c>
      <c r="I15" s="138" t="s">
        <v>534</v>
      </c>
    </row>
    <row r="16" customFormat="false" ht="15" hidden="false" customHeight="false" outlineLevel="0" collapsed="false">
      <c r="A16" s="138" t="s">
        <v>535</v>
      </c>
      <c r="B16" s="138" t="s">
        <v>128</v>
      </c>
      <c r="C16" s="138" t="s">
        <v>529</v>
      </c>
      <c r="D16" s="138" t="s">
        <v>530</v>
      </c>
      <c r="E16" s="138" t="s">
        <v>536</v>
      </c>
      <c r="F16" s="138" t="s">
        <v>532</v>
      </c>
      <c r="G16" s="138" t="s">
        <v>537</v>
      </c>
      <c r="H16" s="138" t="s">
        <v>464</v>
      </c>
      <c r="I16" s="138" t="s">
        <v>538</v>
      </c>
    </row>
    <row r="17" customFormat="false" ht="15" hidden="false" customHeight="false" outlineLevel="0" collapsed="false">
      <c r="A17" s="138" t="s">
        <v>539</v>
      </c>
      <c r="B17" s="138" t="s">
        <v>540</v>
      </c>
      <c r="C17" s="138" t="s">
        <v>541</v>
      </c>
      <c r="D17" s="138" t="s">
        <v>530</v>
      </c>
      <c r="E17" s="138" t="s">
        <v>542</v>
      </c>
      <c r="F17" s="138" t="s">
        <v>532</v>
      </c>
      <c r="G17" s="138" t="s">
        <v>543</v>
      </c>
      <c r="H17" s="138" t="s">
        <v>544</v>
      </c>
      <c r="I17" s="138" t="s">
        <v>545</v>
      </c>
    </row>
    <row r="18" customFormat="false" ht="15" hidden="false" customHeight="false" outlineLevel="0" collapsed="false">
      <c r="A18" s="138" t="s">
        <v>546</v>
      </c>
      <c r="B18" s="138" t="s">
        <v>547</v>
      </c>
      <c r="C18" s="138" t="s">
        <v>548</v>
      </c>
      <c r="D18" s="138" t="s">
        <v>469</v>
      </c>
      <c r="E18" s="138" t="s">
        <v>549</v>
      </c>
      <c r="F18" s="138" t="s">
        <v>550</v>
      </c>
      <c r="G18" s="138" t="s">
        <v>551</v>
      </c>
      <c r="H18" s="138" t="s">
        <v>481</v>
      </c>
      <c r="I18" s="138" t="s">
        <v>552</v>
      </c>
    </row>
    <row r="19" customFormat="false" ht="15" hidden="false" customHeight="false" outlineLevel="0" collapsed="false">
      <c r="A19" s="138" t="s">
        <v>553</v>
      </c>
      <c r="B19" s="138" t="s">
        <v>554</v>
      </c>
      <c r="C19" s="138" t="s">
        <v>517</v>
      </c>
      <c r="D19" s="138" t="s">
        <v>555</v>
      </c>
      <c r="E19" s="138" t="s">
        <v>556</v>
      </c>
      <c r="F19" s="138" t="s">
        <v>479</v>
      </c>
      <c r="G19" s="138" t="s">
        <v>557</v>
      </c>
      <c r="H19" s="138" t="s">
        <v>558</v>
      </c>
      <c r="I19" s="138" t="s">
        <v>522</v>
      </c>
    </row>
    <row r="20" customFormat="false" ht="23.85" hidden="false" customHeight="false" outlineLevel="0" collapsed="false">
      <c r="A20" s="138" t="s">
        <v>559</v>
      </c>
      <c r="B20" s="138" t="s">
        <v>560</v>
      </c>
      <c r="C20" s="138" t="s">
        <v>561</v>
      </c>
      <c r="D20" s="138" t="s">
        <v>530</v>
      </c>
      <c r="E20" s="138" t="s">
        <v>562</v>
      </c>
      <c r="F20" s="138" t="s">
        <v>257</v>
      </c>
      <c r="G20" s="138" t="s">
        <v>563</v>
      </c>
      <c r="H20" s="138" t="s">
        <v>464</v>
      </c>
      <c r="I20" s="138" t="s">
        <v>545</v>
      </c>
    </row>
    <row r="21" customFormat="false" ht="23.85" hidden="false" customHeight="false" outlineLevel="0" collapsed="false">
      <c r="A21" s="138" t="s">
        <v>564</v>
      </c>
      <c r="B21" s="138" t="s">
        <v>565</v>
      </c>
      <c r="C21" s="138" t="s">
        <v>529</v>
      </c>
      <c r="D21" s="138" t="s">
        <v>530</v>
      </c>
      <c r="E21" s="138" t="s">
        <v>566</v>
      </c>
      <c r="F21" s="138" t="s">
        <v>532</v>
      </c>
      <c r="G21" s="138" t="s">
        <v>567</v>
      </c>
      <c r="H21" s="138" t="s">
        <v>464</v>
      </c>
      <c r="I21" s="138" t="s">
        <v>568</v>
      </c>
    </row>
    <row r="22" customFormat="false" ht="15" hidden="false" customHeight="false" outlineLevel="0" collapsed="false">
      <c r="A22" s="138" t="s">
        <v>569</v>
      </c>
      <c r="B22" s="138" t="s">
        <v>570</v>
      </c>
      <c r="C22" s="138" t="s">
        <v>571</v>
      </c>
      <c r="D22" s="138" t="s">
        <v>469</v>
      </c>
      <c r="E22" s="138" t="s">
        <v>572</v>
      </c>
      <c r="F22" s="138" t="s">
        <v>479</v>
      </c>
      <c r="G22" s="138" t="s">
        <v>573</v>
      </c>
      <c r="H22" s="138" t="s">
        <v>464</v>
      </c>
      <c r="I22" s="138" t="s">
        <v>574</v>
      </c>
    </row>
    <row r="23" customFormat="false" ht="23.85" hidden="false" customHeight="false" outlineLevel="0" collapsed="false">
      <c r="A23" s="138" t="s">
        <v>575</v>
      </c>
      <c r="B23" s="138" t="s">
        <v>576</v>
      </c>
      <c r="C23" s="138" t="s">
        <v>477</v>
      </c>
      <c r="D23" s="138" t="s">
        <v>469</v>
      </c>
      <c r="E23" s="138" t="s">
        <v>577</v>
      </c>
      <c r="F23" s="138" t="s">
        <v>479</v>
      </c>
      <c r="G23" s="138" t="s">
        <v>578</v>
      </c>
      <c r="H23" s="138" t="s">
        <v>548</v>
      </c>
      <c r="I23" s="138" t="s">
        <v>482</v>
      </c>
    </row>
    <row r="24" customFormat="false" ht="23.85" hidden="false" customHeight="false" outlineLevel="0" collapsed="false">
      <c r="A24" s="112" t="s">
        <v>579</v>
      </c>
      <c r="B24" s="112" t="s">
        <v>580</v>
      </c>
      <c r="C24" s="112" t="s">
        <v>477</v>
      </c>
      <c r="D24" s="112" t="s">
        <v>530</v>
      </c>
      <c r="E24" s="112" t="s">
        <v>581</v>
      </c>
      <c r="F24" s="112" t="s">
        <v>582</v>
      </c>
      <c r="G24" s="112" t="s">
        <v>583</v>
      </c>
      <c r="H24" s="112" t="s">
        <v>584</v>
      </c>
      <c r="I24" s="112" t="s">
        <v>585</v>
      </c>
    </row>
  </sheetData>
  <mergeCells count="2">
    <mergeCell ref="A1:I1"/>
    <mergeCell ref="A2:I2"/>
  </mergeCells>
  <conditionalFormatting sqref="D5:D24">
    <cfRule type="containsText" priority="2" operator="containsText" aboveAverage="0" equalAverage="0" bottom="0" percent="0" rank="0" text="OK" dxfId="12">
      <formula>NOT(ISERROR(SEARCH("OK",D5)))</formula>
    </cfRule>
    <cfRule type="containsText" priority="3" operator="containsText" aboveAverage="0" equalAverage="0" bottom="0" percent="0" rank="0" text="OPEN" dxfId="13">
      <formula>NOT(ISERROR(SEARCH("OPEN",D5)))</formula>
    </cfRule>
    <cfRule type="containsText" priority="4" operator="containsText" aboveAverage="0" equalAverage="0" bottom="0" percent="0" rank="0" text="REVIEW" dxfId="14">
      <formula>NOT(ISERROR(SEARCH("REVIEW",D5)))</formula>
    </cfRule>
    <cfRule type="containsText" priority="5" operator="containsText" aboveAverage="0" equalAverage="0" bottom="0" percent="0" rank="0" text="BELOW" dxfId="15">
      <formula>NOT(ISERROR(SEARCH("BELOW",D5)))</formula>
    </cfRule>
  </conditionalFormatting>
  <dataValidations count="1">
    <dataValidation allowBlank="false" errorStyle="stop" operator="between" showDropDown="false" showErrorMessage="false" showInputMessage="false" sqref="D5:D24" type="list">
      <formula1>"Verified - external,Verified - internal,Reported - evidence pending,Projected - validate with actuals,Open - narrative conflict,Open - legal term,Open - missing"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30"/>
    <col collapsed="false" customWidth="true" hidden="false" outlineLevel="0" max="3" min="3" style="0" width="27"/>
    <col collapsed="false" customWidth="true" hidden="false" outlineLevel="0" max="5" min="4" style="0" width="16"/>
    <col collapsed="false" customWidth="true" hidden="false" outlineLevel="0" max="6" min="6" style="0" width="24"/>
    <col collapsed="false" customWidth="true" hidden="false" outlineLevel="0" max="7" min="7" style="0" width="55"/>
  </cols>
  <sheetData>
    <row r="1" customFormat="false" ht="30" hidden="false" customHeight="true" outlineLevel="0" collapsed="false">
      <c r="A1" s="133" t="s">
        <v>586</v>
      </c>
      <c r="B1" s="133" t="s">
        <v>586</v>
      </c>
      <c r="C1" s="133" t="s">
        <v>586</v>
      </c>
      <c r="D1" s="133" t="s">
        <v>586</v>
      </c>
      <c r="E1" s="133" t="s">
        <v>586</v>
      </c>
      <c r="F1" s="133" t="s">
        <v>586</v>
      </c>
      <c r="G1" s="133" t="s">
        <v>586</v>
      </c>
    </row>
    <row r="2" customFormat="false" ht="15" hidden="false" customHeight="true" outlineLevel="0" collapsed="false">
      <c r="A2" s="88" t="s">
        <v>587</v>
      </c>
      <c r="B2" s="88"/>
      <c r="C2" s="88"/>
      <c r="D2" s="88"/>
      <c r="E2" s="88"/>
      <c r="F2" s="88"/>
      <c r="G2" s="88"/>
    </row>
    <row r="3" customFormat="false" ht="15" hidden="false" customHeight="false" outlineLevel="0" collapsed="false">
      <c r="A3" s="19" t="s">
        <v>588</v>
      </c>
      <c r="B3" s="21" t="str">
        <f aca="false">IF(COUNTIF(F7:F24,"&lt;&gt;OK")=0,"INVESTOR-READY","PRE-DILIGENCE: OPEN ITEMS")</f>
        <v>PRE-DILIGENCE: OPEN ITEMS</v>
      </c>
      <c r="C3" s="22"/>
      <c r="D3" s="22"/>
      <c r="E3" s="22"/>
      <c r="F3" s="22"/>
      <c r="G3" s="22"/>
    </row>
    <row r="4" customFormat="false" ht="15" hidden="false" customHeight="false" outlineLevel="0" collapsed="false">
      <c r="A4" s="22"/>
      <c r="B4" s="22"/>
      <c r="C4" s="22"/>
      <c r="D4" s="22"/>
      <c r="E4" s="22"/>
      <c r="F4" s="22"/>
      <c r="G4" s="22"/>
    </row>
    <row r="5" customFormat="false" ht="15" hidden="false" customHeight="false" outlineLevel="0" collapsed="false">
      <c r="A5" s="22"/>
      <c r="B5" s="22"/>
      <c r="C5" s="22"/>
      <c r="D5" s="22"/>
      <c r="E5" s="22"/>
      <c r="F5" s="22"/>
      <c r="G5" s="22"/>
    </row>
    <row r="6" customFormat="false" ht="15" hidden="false" customHeight="false" outlineLevel="0" collapsed="false">
      <c r="A6" s="19" t="s">
        <v>589</v>
      </c>
      <c r="B6" s="20" t="s">
        <v>590</v>
      </c>
      <c r="C6" s="20" t="s">
        <v>591</v>
      </c>
      <c r="D6" s="20" t="s">
        <v>592</v>
      </c>
      <c r="E6" s="20" t="s">
        <v>593</v>
      </c>
      <c r="F6" s="20" t="s">
        <v>312</v>
      </c>
      <c r="G6" s="21" t="s">
        <v>594</v>
      </c>
    </row>
    <row r="7" customFormat="false" ht="15" hidden="false" customHeight="false" outlineLevel="0" collapsed="false">
      <c r="A7" s="137" t="s">
        <v>595</v>
      </c>
      <c r="B7" s="139" t="n">
        <f aca="false">'Monthly P&amp;L'!$AB$11</f>
        <v>10532067.3076923</v>
      </c>
      <c r="C7" s="139" t="n">
        <f aca="false">Dashboard!$B$12</f>
        <v>10532067.3076923</v>
      </c>
      <c r="D7" s="139" t="n">
        <f aca="false">B7-C7</f>
        <v>0</v>
      </c>
      <c r="E7" s="139" t="n">
        <v>1</v>
      </c>
      <c r="F7" s="137" t="str">
        <f aca="false">IF(ABS(D7)&lt;=E7,"OK","OPEN")</f>
        <v>OK</v>
      </c>
      <c r="G7" s="137" t="s">
        <v>596</v>
      </c>
    </row>
    <row r="8" customFormat="false" ht="15" hidden="false" customHeight="false" outlineLevel="0" collapsed="false">
      <c r="A8" s="138" t="s">
        <v>597</v>
      </c>
      <c r="B8" s="140" t="n">
        <f aca="false">'Monthly P&amp;L'!$AB$16</f>
        <v>4340610.25641029</v>
      </c>
      <c r="C8" s="140" t="n">
        <f aca="false">Dashboard!$B$14</f>
        <v>4340610.25641029</v>
      </c>
      <c r="D8" s="140" t="n">
        <f aca="false">B8-C8</f>
        <v>0</v>
      </c>
      <c r="E8" s="140" t="n">
        <v>1</v>
      </c>
      <c r="F8" s="138" t="str">
        <f aca="false">IF(ABS(D8)&lt;=E8,"OK","OPEN")</f>
        <v>OK</v>
      </c>
      <c r="G8" s="138" t="s">
        <v>596</v>
      </c>
    </row>
    <row r="9" customFormat="false" ht="15" hidden="false" customHeight="false" outlineLevel="0" collapsed="false">
      <c r="A9" s="138" t="s">
        <v>598</v>
      </c>
      <c r="B9" s="141" t="n">
        <f aca="false">'Operating Drivers'!$Y$15</f>
        <v>490</v>
      </c>
      <c r="C9" s="141" t="n">
        <f aca="false">'Monthly P&amp;L'!$Y$5</f>
        <v>490</v>
      </c>
      <c r="D9" s="141" t="n">
        <f aca="false">B9-C9</f>
        <v>0</v>
      </c>
      <c r="E9" s="141" t="n">
        <v>0.01</v>
      </c>
      <c r="F9" s="138" t="str">
        <f aca="false">IF(ABS(D9)&lt;=E9,"OK","OPEN")</f>
        <v>OK</v>
      </c>
      <c r="G9" s="138" t="s">
        <v>599</v>
      </c>
    </row>
    <row r="10" customFormat="false" ht="15" hidden="false" customHeight="false" outlineLevel="0" collapsed="false">
      <c r="A10" s="138" t="s">
        <v>334</v>
      </c>
      <c r="B10" s="142" t="n">
        <f aca="false">'Operating Drivers'!$Y$17</f>
        <v>0.765625</v>
      </c>
      <c r="C10" s="142" t="n">
        <v>0.9</v>
      </c>
      <c r="D10" s="142" t="n">
        <f aca="false">B10-C10</f>
        <v>-0.134375</v>
      </c>
      <c r="E10" s="142" t="n">
        <v>0</v>
      </c>
      <c r="F10" s="138" t="str">
        <f aca="false">IF(B10&lt;=C10,"OK","REVIEW")</f>
        <v>OK</v>
      </c>
      <c r="G10" s="138" t="s">
        <v>600</v>
      </c>
    </row>
    <row r="11" customFormat="false" ht="15" hidden="false" customHeight="false" outlineLevel="0" collapsed="false">
      <c r="A11" s="138" t="s">
        <v>601</v>
      </c>
      <c r="B11" s="140" t="n">
        <f aca="false">'Cash Flow (WC)'!$B$22</f>
        <v>667272.115384617</v>
      </c>
      <c r="C11" s="140" t="n">
        <f aca="false">Assumptions!$B$33</f>
        <v>28846.1538461538</v>
      </c>
      <c r="D11" s="140" t="n">
        <f aca="false">B11-C11</f>
        <v>638425.961538463</v>
      </c>
      <c r="E11" s="140" t="n">
        <v>0</v>
      </c>
      <c r="F11" s="138" t="str">
        <f aca="false">IF(B11&gt;=C11,"OK","REVIEW")</f>
        <v>OK</v>
      </c>
      <c r="G11" s="138" t="s">
        <v>602</v>
      </c>
    </row>
    <row r="12" customFormat="false" ht="15" hidden="false" customHeight="false" outlineLevel="0" collapsed="false">
      <c r="A12" s="138" t="s">
        <v>603</v>
      </c>
      <c r="B12" s="140" t="n">
        <f aca="false">'Scenario Stress'!$B$28</f>
        <v>172255.826923082</v>
      </c>
      <c r="C12" s="140" t="n">
        <v>0</v>
      </c>
      <c r="D12" s="140" t="n">
        <f aca="false">B12-C12</f>
        <v>172255.826923082</v>
      </c>
      <c r="E12" s="140" t="n">
        <v>0</v>
      </c>
      <c r="F12" s="138" t="str">
        <f aca="false">IF(B12&gt;=C12,"OK","OPEN")</f>
        <v>OK</v>
      </c>
      <c r="G12" s="138" t="s">
        <v>604</v>
      </c>
    </row>
    <row r="13" customFormat="false" ht="15" hidden="false" customHeight="false" outlineLevel="0" collapsed="false">
      <c r="A13" s="138" t="s">
        <v>605</v>
      </c>
      <c r="B13" s="142" t="n">
        <f aca="false">'Use of Funds'!$B$9</f>
        <v>1</v>
      </c>
      <c r="C13" s="142" t="n">
        <v>1</v>
      </c>
      <c r="D13" s="142" t="n">
        <f aca="false">B13-C13</f>
        <v>0</v>
      </c>
      <c r="E13" s="142" t="n">
        <v>0.0001</v>
      </c>
      <c r="F13" s="138" t="str">
        <f aca="false">IF(ABS(D13)&lt;=E13,"OK","OPEN")</f>
        <v>OK</v>
      </c>
      <c r="G13" s="138" t="s">
        <v>606</v>
      </c>
    </row>
    <row r="14" customFormat="false" ht="15" hidden="false" customHeight="false" outlineLevel="0" collapsed="false">
      <c r="A14" s="138" t="s">
        <v>607</v>
      </c>
      <c r="B14" s="138" t="str">
        <f aca="false">Assumptions!$B$36</f>
        <v>Finalized</v>
      </c>
      <c r="C14" s="138" t="s">
        <v>102</v>
      </c>
      <c r="D14" s="138"/>
      <c r="E14" s="138"/>
      <c r="F14" s="138" t="str">
        <f aca="false">IF(B14=C14,"OK","OPEN")</f>
        <v>OK</v>
      </c>
      <c r="G14" s="138" t="s">
        <v>608</v>
      </c>
    </row>
    <row r="15" customFormat="false" ht="23.85" hidden="false" customHeight="false" outlineLevel="0" collapsed="false">
      <c r="A15" s="138" t="s">
        <v>609</v>
      </c>
      <c r="B15" s="138" t="str">
        <f aca="false">Assumptions!$B$37</f>
        <v>Post-money</v>
      </c>
      <c r="C15" s="138" t="s">
        <v>105</v>
      </c>
      <c r="D15" s="138"/>
      <c r="E15" s="138"/>
      <c r="F15" s="138" t="str">
        <f aca="false">IF(B15=C15,"OK","OPEN")</f>
        <v>OK</v>
      </c>
      <c r="G15" s="138" t="s">
        <v>610</v>
      </c>
    </row>
    <row r="16" customFormat="false" ht="15" hidden="false" customHeight="false" outlineLevel="0" collapsed="false">
      <c r="A16" s="138" t="s">
        <v>611</v>
      </c>
      <c r="B16" s="138" t="n">
        <f aca="false">COUNT('Cap Table (template)'!$C$4:$C$8)</f>
        <v>0</v>
      </c>
      <c r="C16" s="138" t="n">
        <v>5</v>
      </c>
      <c r="D16" s="138" t="n">
        <f aca="false">B16-C16</f>
        <v>-5</v>
      </c>
      <c r="E16" s="138" t="n">
        <v>0</v>
      </c>
      <c r="F16" s="138" t="str">
        <f aca="false">IF(B16=C16,"OK","OPEN")</f>
        <v>OPEN</v>
      </c>
      <c r="G16" s="138" t="s">
        <v>612</v>
      </c>
    </row>
    <row r="17" customFormat="false" ht="23.85" hidden="false" customHeight="false" outlineLevel="0" collapsed="false">
      <c r="A17" s="138" t="s">
        <v>613</v>
      </c>
      <c r="B17" s="138" t="n">
        <f aca="false">COUNTIF('Actuals (anonymized)'!$H$5:$H$28,"Validated")</f>
        <v>0</v>
      </c>
      <c r="C17" s="138" t="n">
        <v>1</v>
      </c>
      <c r="D17" s="138" t="n">
        <f aca="false">B17-C17</f>
        <v>-1</v>
      </c>
      <c r="E17" s="138" t="n">
        <v>0</v>
      </c>
      <c r="F17" s="138" t="str">
        <f aca="false">IF(B17&gt;=C17,"OK","OPEN")</f>
        <v>OPEN</v>
      </c>
      <c r="G17" s="138" t="s">
        <v>614</v>
      </c>
    </row>
    <row r="18" customFormat="false" ht="23.85" hidden="false" customHeight="false" outlineLevel="0" collapsed="false">
      <c r="A18" s="138" t="s">
        <v>615</v>
      </c>
      <c r="B18" s="143" t="n">
        <f aca="false">SUM('Operating Drivers'!$B$13:$Y$13)</f>
        <v>5705000</v>
      </c>
      <c r="C18" s="143" t="n">
        <f aca="false">'Monthly P&amp;L'!$AB$5*Assumptions!$B$43</f>
        <v>5705000</v>
      </c>
      <c r="D18" s="143" t="n">
        <f aca="false">B18-C18</f>
        <v>0</v>
      </c>
      <c r="E18" s="143" t="n">
        <v>1</v>
      </c>
      <c r="F18" s="138" t="str">
        <f aca="false">IF(ABS(D18)&lt;=E18,"OK","OPEN")</f>
        <v>OK</v>
      </c>
      <c r="G18" s="138" t="s">
        <v>616</v>
      </c>
    </row>
    <row r="19" customFormat="false" ht="15" hidden="false" customHeight="false" outlineLevel="0" collapsed="false">
      <c r="A19" s="138" t="s">
        <v>617</v>
      </c>
      <c r="B19" s="138" t="n">
        <f aca="false">COUNTIF('Sources &amp; Audit'!$D$5:$D$24,"Verified - external")+COUNTIF('Sources &amp; Audit'!$D$5:$D$24,"Verified - internal")</f>
        <v>1</v>
      </c>
      <c r="C19" s="138" t="n">
        <v>1</v>
      </c>
      <c r="D19" s="138" t="n">
        <f aca="false">B19-C19</f>
        <v>0</v>
      </c>
      <c r="E19" s="138" t="n">
        <v>0</v>
      </c>
      <c r="F19" s="138" t="str">
        <f aca="false">IF(B19&gt;=C19,"OK","OPEN")</f>
        <v>OK</v>
      </c>
      <c r="G19" s="138" t="s">
        <v>618</v>
      </c>
    </row>
    <row r="20" customFormat="false" ht="15" hidden="false" customHeight="false" outlineLevel="0" collapsed="false">
      <c r="A20" s="138" t="s">
        <v>619</v>
      </c>
      <c r="B20" s="138" t="str">
        <f aca="false">Assumptions!$B$40</f>
        <v>Upside only</v>
      </c>
      <c r="C20" s="138" t="s">
        <v>67</v>
      </c>
      <c r="D20" s="138"/>
      <c r="E20" s="138"/>
      <c r="F20" s="138" t="str">
        <f aca="false">IF(B20=C20,"OK","REVIEW")</f>
        <v>OK</v>
      </c>
      <c r="G20" s="138" t="s">
        <v>620</v>
      </c>
    </row>
    <row r="21" customFormat="false" ht="15" hidden="false" customHeight="false" outlineLevel="0" collapsed="false">
      <c r="A21" s="138" t="s">
        <v>621</v>
      </c>
      <c r="B21" s="138" t="s">
        <v>622</v>
      </c>
      <c r="C21" s="138" t="s">
        <v>623</v>
      </c>
      <c r="D21" s="138"/>
      <c r="E21" s="138"/>
      <c r="F21" s="138" t="s">
        <v>624</v>
      </c>
      <c r="G21" s="138" t="s">
        <v>625</v>
      </c>
    </row>
    <row r="22" customFormat="false" ht="15" hidden="false" customHeight="false" outlineLevel="0" collapsed="false">
      <c r="A22" s="138" t="s">
        <v>626</v>
      </c>
      <c r="B22" s="144" t="n">
        <f aca="false">'Scenario Stress'!$E$24</f>
        <v>900</v>
      </c>
      <c r="C22" s="144" t="n">
        <v>900</v>
      </c>
      <c r="D22" s="144" t="n">
        <f aca="false">B22-C22</f>
        <v>0</v>
      </c>
      <c r="E22" s="144" t="n">
        <v>1</v>
      </c>
      <c r="F22" s="138" t="str">
        <f aca="false">IF(ABS(D22)&lt;=E22,"OK","OPEN")</f>
        <v>OK</v>
      </c>
      <c r="G22" s="138" t="s">
        <v>627</v>
      </c>
    </row>
    <row r="23" customFormat="false" ht="15" hidden="false" customHeight="false" outlineLevel="0" collapsed="false">
      <c r="A23" s="138" t="s">
        <v>628</v>
      </c>
      <c r="B23" s="82" t="n">
        <f aca="false">'Scenario Stress'!$E$27</f>
        <v>0.9</v>
      </c>
      <c r="C23" s="82" t="n">
        <v>0.9</v>
      </c>
      <c r="D23" s="82" t="n">
        <f aca="false">B23-C23</f>
        <v>0</v>
      </c>
      <c r="E23" s="82" t="n">
        <v>0</v>
      </c>
      <c r="F23" s="138" t="str">
        <f aca="false">IF(B23&lt;=C23,"OK","REVIEW")</f>
        <v>OK</v>
      </c>
      <c r="G23" s="138" t="s">
        <v>629</v>
      </c>
    </row>
    <row r="24" customFormat="false" ht="23.85" hidden="false" customHeight="false" outlineLevel="0" collapsed="false">
      <c r="A24" s="112" t="s">
        <v>630</v>
      </c>
      <c r="B24" s="112" t="n">
        <f aca="false">COUNTIF('RM Cohorts (anonymized)'!$J$5:$J$20,"Validated")</f>
        <v>0</v>
      </c>
      <c r="C24" s="112" t="n">
        <v>1</v>
      </c>
      <c r="D24" s="112" t="n">
        <f aca="false">B24-C24</f>
        <v>-1</v>
      </c>
      <c r="E24" s="112" t="n">
        <v>0</v>
      </c>
      <c r="F24" s="112" t="str">
        <f aca="false">IF(B24&gt;=C24,"OK","REVIEW")</f>
        <v>REVIEW</v>
      </c>
      <c r="G24" s="112" t="s">
        <v>631</v>
      </c>
    </row>
  </sheetData>
  <mergeCells count="2">
    <mergeCell ref="A1:G1"/>
    <mergeCell ref="A2:G2"/>
  </mergeCells>
  <conditionalFormatting sqref="F7:F24">
    <cfRule type="containsText" priority="2" operator="containsText" aboveAverage="0" equalAverage="0" bottom="0" percent="0" rank="0" text="OK" dxfId="16">
      <formula>NOT(ISERROR(SEARCH("OK",F7)))</formula>
    </cfRule>
    <cfRule type="containsText" priority="3" operator="containsText" aboveAverage="0" equalAverage="0" bottom="0" percent="0" rank="0" text="OPEN" dxfId="17">
      <formula>NOT(ISERROR(SEARCH("OPEN",F7)))</formula>
    </cfRule>
    <cfRule type="containsText" priority="4" operator="containsText" aboveAverage="0" equalAverage="0" bottom="0" percent="0" rank="0" text="REVIEW" dxfId="18">
      <formula>NOT(ISERROR(SEARCH("REVIEW",F7)))</formula>
    </cfRule>
    <cfRule type="containsText" priority="5" operator="containsText" aboveAverage="0" equalAverage="0" bottom="0" percent="0" rank="0" text="BELOW" dxfId="19">
      <formula>NOT(ISERROR(SEARCH("BELOW",F7)))</formula>
    </cfRule>
  </conditionalFormatting>
  <conditionalFormatting sqref="B3">
    <cfRule type="containsText" priority="6" operator="containsText" aboveAverage="0" equalAverage="0" bottom="0" percent="0" rank="0" text="OK" dxfId="20">
      <formula>NOT(ISERROR(SEARCH("OK",B3)))</formula>
    </cfRule>
    <cfRule type="containsText" priority="7" operator="containsText" aboveAverage="0" equalAverage="0" bottom="0" percent="0" rank="0" text="OPEN" dxfId="21">
      <formula>NOT(ISERROR(SEARCH("OPEN",B3)))</formula>
    </cfRule>
    <cfRule type="containsText" priority="8" operator="containsText" aboveAverage="0" equalAverage="0" bottom="0" percent="0" rank="0" text="REVIEW" dxfId="22">
      <formula>NOT(ISERROR(SEARCH("REVIEW",B3)))</formula>
    </cfRule>
    <cfRule type="containsText" priority="9" operator="containsText" aboveAverage="0" equalAverage="0" bottom="0" percent="0" rank="0" text="BELOW" dxfId="23">
      <formula>NOT(ISERROR(SEARCH("BELOW",B3)))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3"/>
    <col collapsed="false" customWidth="true" hidden="false" outlineLevel="0" max="8" min="2" style="0" width="19"/>
  </cols>
  <sheetData>
    <row r="1" customFormat="false" ht="21.6" hidden="false" customHeight="true" outlineLevel="0" collapsed="false">
      <c r="A1" s="87" t="s">
        <v>632</v>
      </c>
      <c r="B1" s="87" t="s">
        <v>632</v>
      </c>
      <c r="C1" s="87" t="s">
        <v>632</v>
      </c>
      <c r="D1" s="87" t="s">
        <v>632</v>
      </c>
      <c r="E1" s="87" t="s">
        <v>632</v>
      </c>
      <c r="F1" s="87" t="s">
        <v>632</v>
      </c>
      <c r="G1" s="87" t="s">
        <v>632</v>
      </c>
      <c r="H1" s="87" t="s">
        <v>632</v>
      </c>
    </row>
    <row r="2" customFormat="false" ht="15" hidden="false" customHeight="true" outlineLevel="0" collapsed="false">
      <c r="A2" s="88" t="s">
        <v>633</v>
      </c>
      <c r="B2" s="88"/>
      <c r="C2" s="88"/>
      <c r="D2" s="88"/>
      <c r="E2" s="88"/>
      <c r="F2" s="88"/>
      <c r="G2" s="88"/>
      <c r="H2" s="88"/>
    </row>
    <row r="4" customFormat="false" ht="15" hidden="false" customHeight="true" outlineLevel="0" collapsed="false">
      <c r="A4" s="10" t="s">
        <v>634</v>
      </c>
      <c r="B4" s="12" t="str">
        <f aca="false">Checks!$B$3</f>
        <v>PRE-DILIGENCE: OPEN ITEMS</v>
      </c>
    </row>
    <row r="6" customFormat="false" ht="15" hidden="false" customHeight="true" outlineLevel="0" collapsed="false">
      <c r="A6" s="145" t="s">
        <v>635</v>
      </c>
      <c r="B6" s="146" t="n">
        <f aca="false">Assumptions!$B$5</f>
        <v>1000000</v>
      </c>
      <c r="C6" s="146" t="s">
        <v>636</v>
      </c>
      <c r="D6" s="146" t="n">
        <f aca="false">Assumptions!$B$6</f>
        <v>6000000</v>
      </c>
      <c r="E6" s="147" t="s">
        <v>637</v>
      </c>
      <c r="F6" s="147" t="str">
        <f aca="false">Assumptions!$B$36</f>
        <v>Finalized</v>
      </c>
      <c r="G6" s="147" t="s">
        <v>104</v>
      </c>
      <c r="H6" s="148" t="str">
        <f aca="false">Assumptions!$B$37</f>
        <v>Post-money</v>
      </c>
    </row>
    <row r="7" customFormat="false" ht="15" hidden="false" customHeight="true" outlineLevel="0" collapsed="false">
      <c r="A7" s="149"/>
      <c r="B7" s="150"/>
      <c r="C7" s="150"/>
      <c r="D7" s="150"/>
      <c r="E7" s="151"/>
      <c r="F7" s="151"/>
      <c r="G7" s="151"/>
      <c r="H7" s="152"/>
    </row>
    <row r="8" customFormat="false" ht="15" hidden="false" customHeight="true" outlineLevel="0" collapsed="false">
      <c r="A8" s="153" t="s">
        <v>328</v>
      </c>
      <c r="B8" s="154" t="n">
        <f aca="false">'Monthly P&amp;L'!$AB$11</f>
        <v>10532067.3076923</v>
      </c>
      <c r="C8" s="154" t="s">
        <v>331</v>
      </c>
      <c r="D8" s="154" t="n">
        <f aca="false">'Monthly P&amp;L'!$AB$16</f>
        <v>4340610.25641029</v>
      </c>
      <c r="E8" s="155" t="s">
        <v>638</v>
      </c>
      <c r="F8" s="154" t="n">
        <f aca="false">'Cash Flow (WC)'!$B$22</f>
        <v>667272.115384617</v>
      </c>
      <c r="G8" s="154" t="s">
        <v>639</v>
      </c>
      <c r="H8" s="156" t="n">
        <f aca="false">'Scenario Stress'!$B$28</f>
        <v>172255.826923082</v>
      </c>
    </row>
    <row r="9" customFormat="false" ht="15" hidden="false" customHeight="true" outlineLevel="0" collapsed="false">
      <c r="A9" s="149"/>
      <c r="B9" s="151"/>
      <c r="C9" s="151"/>
      <c r="D9" s="151"/>
      <c r="E9" s="151"/>
      <c r="F9" s="151"/>
      <c r="G9" s="151"/>
      <c r="H9" s="152"/>
    </row>
    <row r="10" customFormat="false" ht="15" hidden="false" customHeight="true" outlineLevel="0" collapsed="false">
      <c r="A10" s="157" t="s">
        <v>333</v>
      </c>
      <c r="B10" s="158" t="n">
        <f aca="false">'Operating Drivers'!$Y$16</f>
        <v>15.3125</v>
      </c>
      <c r="C10" s="159" t="s">
        <v>640</v>
      </c>
      <c r="D10" s="160" t="n">
        <f aca="false">'Operating Drivers'!$Y$17</f>
        <v>0.765625</v>
      </c>
      <c r="E10" s="159" t="s">
        <v>641</v>
      </c>
      <c r="F10" s="159" t="n">
        <f aca="false">COUNTIF('Sources &amp; Audit'!$D$5:$D$24,"Verified - external")+COUNTIF('Sources &amp; Audit'!$D$5:$D$24,"Verified - internal")</f>
        <v>1</v>
      </c>
      <c r="G10" s="159" t="s">
        <v>642</v>
      </c>
      <c r="H10" s="161" t="n">
        <f aca="false">COUNTIF(Checks!$F$7:$F$24,"&lt;&gt;OK")</f>
        <v>3</v>
      </c>
    </row>
    <row r="12" customFormat="false" ht="15" hidden="false" customHeight="true" outlineLevel="0" collapsed="false">
      <c r="A12" s="10" t="s">
        <v>643</v>
      </c>
      <c r="B12" s="11" t="s">
        <v>644</v>
      </c>
      <c r="C12" s="11" t="s">
        <v>331</v>
      </c>
      <c r="D12" s="11" t="s">
        <v>645</v>
      </c>
      <c r="E12" s="11" t="s">
        <v>646</v>
      </c>
      <c r="F12" s="11" t="s">
        <v>22</v>
      </c>
      <c r="G12" s="12" t="s">
        <v>647</v>
      </c>
    </row>
    <row r="13" customFormat="false" ht="15" hidden="false" customHeight="true" outlineLevel="0" collapsed="false">
      <c r="A13" s="100" t="s">
        <v>322</v>
      </c>
      <c r="B13" s="101" t="n">
        <f aca="false">'Scenario Stress'!B$18</f>
        <v>2866093.75</v>
      </c>
      <c r="C13" s="101" t="n">
        <f aca="false">'Scenario Stress'!B$21</f>
        <v>112562.333333342</v>
      </c>
      <c r="D13" s="162" t="n">
        <f aca="false">'Scenario Stress'!B$22</f>
        <v>0.0392737792800191</v>
      </c>
      <c r="E13" s="101" t="n">
        <f aca="false">'Scenario Stress'!B$28</f>
        <v>172255.826923082</v>
      </c>
      <c r="F13" s="100" t="str">
        <f aca="false">'Scenario Stress'!B$30</f>
        <v>M13</v>
      </c>
      <c r="G13" s="123" t="n">
        <f aca="false">'Scenario Stress'!B$24</f>
        <v>122.5</v>
      </c>
    </row>
    <row r="14" customFormat="false" ht="15" hidden="false" customHeight="true" outlineLevel="0" collapsed="false">
      <c r="A14" s="95" t="s">
        <v>204</v>
      </c>
      <c r="B14" s="102" t="n">
        <f aca="false">'Scenario Stress'!C$18</f>
        <v>6459086.53846154</v>
      </c>
      <c r="C14" s="102" t="n">
        <f aca="false">'Scenario Stress'!C$21</f>
        <v>1963269.61538464</v>
      </c>
      <c r="D14" s="126" t="n">
        <f aca="false">'Scenario Stress'!C$22</f>
        <v>0.303954685185602</v>
      </c>
      <c r="E14" s="102" t="n">
        <f aca="false">'Scenario Stress'!C$28</f>
        <v>412797.019230773</v>
      </c>
      <c r="F14" s="95" t="str">
        <f aca="false">'Scenario Stress'!C$30</f>
        <v>M9</v>
      </c>
      <c r="G14" s="163" t="n">
        <f aca="false">'Scenario Stress'!C$24</f>
        <v>294</v>
      </c>
    </row>
    <row r="15" customFormat="false" ht="15" hidden="false" customHeight="true" outlineLevel="0" collapsed="false">
      <c r="A15" s="95" t="s">
        <v>205</v>
      </c>
      <c r="B15" s="102" t="n">
        <f aca="false">'Scenario Stress'!D$18</f>
        <v>10532067.3076923</v>
      </c>
      <c r="C15" s="102" t="n">
        <f aca="false">'Scenario Stress'!D$21</f>
        <v>4340610.25641029</v>
      </c>
      <c r="D15" s="126" t="n">
        <f aca="false">'Scenario Stress'!D$22</f>
        <v>0.412132787381642</v>
      </c>
      <c r="E15" s="102" t="n">
        <f aca="false">'Scenario Stress'!D$28</f>
        <v>667272.115384618</v>
      </c>
      <c r="F15" s="95" t="str">
        <f aca="false">'Scenario Stress'!D$30</f>
        <v>M7</v>
      </c>
      <c r="G15" s="163" t="n">
        <f aca="false">'Scenario Stress'!D$24</f>
        <v>490</v>
      </c>
    </row>
    <row r="16" customFormat="false" ht="15" hidden="false" customHeight="true" outlineLevel="0" collapsed="false">
      <c r="A16" s="95" t="s">
        <v>648</v>
      </c>
      <c r="B16" s="102" t="n">
        <f aca="false">'Scenario Stress'!E$18</f>
        <v>22417656.0047096</v>
      </c>
      <c r="C16" s="102" t="n">
        <f aca="false">'Scenario Stress'!E$21</f>
        <v>12600283.9874412</v>
      </c>
      <c r="D16" s="126" t="n">
        <f aca="false">'Scenario Stress'!E$22</f>
        <v>0.562069646567602</v>
      </c>
      <c r="E16" s="102" t="n">
        <f aca="false">'Scenario Stress'!E$28</f>
        <v>847226.543694402</v>
      </c>
      <c r="F16" s="95" t="str">
        <f aca="false">'Scenario Stress'!E$30</f>
        <v>M3</v>
      </c>
      <c r="G16" s="163" t="n">
        <f aca="false">'Scenario Stress'!E$24</f>
        <v>900</v>
      </c>
    </row>
    <row r="17" customFormat="false" ht="15" hidden="false" customHeight="true" outlineLevel="0" collapsed="false">
      <c r="A17" s="112" t="s">
        <v>238</v>
      </c>
      <c r="B17" s="112" t="s">
        <v>649</v>
      </c>
      <c r="C17" s="112" t="s">
        <v>650</v>
      </c>
      <c r="D17" s="112" t="s">
        <v>651</v>
      </c>
      <c r="E17" s="112" t="s">
        <v>652</v>
      </c>
      <c r="F17" s="112" t="s">
        <v>653</v>
      </c>
      <c r="G17" s="112" t="s">
        <v>654</v>
      </c>
    </row>
    <row r="19" customFormat="false" ht="15" hidden="false" customHeight="true" outlineLevel="0" collapsed="false">
      <c r="A19" s="10" t="s">
        <v>655</v>
      </c>
      <c r="B19" s="11"/>
      <c r="C19" s="11"/>
      <c r="D19" s="11"/>
      <c r="E19" s="11"/>
      <c r="F19" s="11"/>
      <c r="G19" s="11"/>
      <c r="H19" s="12"/>
    </row>
    <row r="20" customFormat="false" ht="15" hidden="false" customHeight="true" outlineLevel="0" collapsed="false">
      <c r="A20" s="164" t="s">
        <v>377</v>
      </c>
      <c r="B20" s="164" t="s">
        <v>656</v>
      </c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165" t="s">
        <v>379</v>
      </c>
      <c r="B21" s="165" t="s">
        <v>657</v>
      </c>
      <c r="C21" s="165"/>
      <c r="D21" s="165"/>
      <c r="E21" s="165"/>
      <c r="F21" s="165"/>
      <c r="G21" s="165"/>
      <c r="H21" s="165"/>
    </row>
    <row r="22" customFormat="false" ht="15" hidden="false" customHeight="true" outlineLevel="0" collapsed="false">
      <c r="A22" s="165" t="s">
        <v>381</v>
      </c>
      <c r="B22" s="165" t="s">
        <v>658</v>
      </c>
      <c r="C22" s="165"/>
      <c r="D22" s="165"/>
      <c r="E22" s="165"/>
      <c r="F22" s="165"/>
      <c r="G22" s="165"/>
      <c r="H22" s="165"/>
    </row>
    <row r="23" customFormat="false" ht="15" hidden="false" customHeight="true" outlineLevel="0" collapsed="false">
      <c r="A23" s="165" t="s">
        <v>659</v>
      </c>
      <c r="B23" s="165" t="s">
        <v>660</v>
      </c>
      <c r="C23" s="165"/>
      <c r="D23" s="165"/>
      <c r="E23" s="165"/>
      <c r="F23" s="165"/>
      <c r="G23" s="165"/>
      <c r="H23" s="165"/>
    </row>
    <row r="24" customFormat="false" ht="15" hidden="false" customHeight="true" outlineLevel="0" collapsed="false">
      <c r="A24" s="165" t="s">
        <v>661</v>
      </c>
      <c r="B24" s="165" t="s">
        <v>662</v>
      </c>
      <c r="C24" s="165"/>
      <c r="D24" s="165"/>
      <c r="E24" s="165"/>
      <c r="F24" s="165"/>
      <c r="G24" s="165"/>
      <c r="H24" s="165"/>
    </row>
    <row r="25" customFormat="false" ht="15" hidden="false" customHeight="true" outlineLevel="0" collapsed="false">
      <c r="A25" s="166" t="s">
        <v>663</v>
      </c>
      <c r="B25" s="166" t="s">
        <v>664</v>
      </c>
      <c r="C25" s="166"/>
      <c r="D25" s="166"/>
      <c r="E25" s="166"/>
      <c r="F25" s="166"/>
      <c r="G25" s="166"/>
      <c r="H25" s="166"/>
    </row>
    <row r="26" customFormat="false" ht="15" hidden="false" customHeight="true" outlineLevel="0" collapsed="false">
      <c r="A26" s="167" t="s">
        <v>665</v>
      </c>
      <c r="B26" s="167" t="s">
        <v>666</v>
      </c>
      <c r="C26" s="167"/>
      <c r="D26" s="167"/>
      <c r="E26" s="167"/>
      <c r="F26" s="167"/>
      <c r="G26" s="167"/>
      <c r="H26" s="167"/>
    </row>
  </sheetData>
  <mergeCells count="9">
    <mergeCell ref="A1:H1"/>
    <mergeCell ref="A2:H2"/>
    <mergeCell ref="B20:H20"/>
    <mergeCell ref="B21:H21"/>
    <mergeCell ref="B22:H22"/>
    <mergeCell ref="B23:H23"/>
    <mergeCell ref="B24:H24"/>
    <mergeCell ref="B25:H25"/>
    <mergeCell ref="B26:H26"/>
  </mergeCells>
  <conditionalFormatting sqref="B4">
    <cfRule type="containsText" priority="2" operator="containsText" aboveAverage="0" equalAverage="0" bottom="0" percent="0" rank="0" text="OK" dxfId="24">
      <formula>NOT(ISERROR(SEARCH("OK",B4)))</formula>
    </cfRule>
    <cfRule type="containsText" priority="3" operator="containsText" aboveAverage="0" equalAverage="0" bottom="0" percent="0" rank="0" text="OPEN" dxfId="25">
      <formula>NOT(ISERROR(SEARCH("OPEN",B4)))</formula>
    </cfRule>
    <cfRule type="containsText" priority="4" operator="containsText" aboveAverage="0" equalAverage="0" bottom="0" percent="0" rank="0" text="REVIEW" dxfId="26">
      <formula>NOT(ISERROR(SEARCH("REVIEW",B4)))</formula>
    </cfRule>
    <cfRule type="containsText" priority="5" operator="containsText" aboveAverage="0" equalAverage="0" bottom="0" percent="0" rank="0" text="BELOW" dxfId="27">
      <formula>NOT(ISERROR(SEARCH("BELOW",B4)))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4"/>
    <col collapsed="false" customWidth="true" hidden="false" outlineLevel="0" max="3" min="3" style="0" width="58"/>
  </cols>
  <sheetData>
    <row r="1" customFormat="false" ht="15.6" hidden="false" customHeight="true" outlineLevel="0" collapsed="false">
      <c r="A1" s="14" t="s">
        <v>50</v>
      </c>
    </row>
    <row r="2" customFormat="false" ht="15" hidden="false" customHeight="true" outlineLevel="0" collapsed="false">
      <c r="A2" s="2" t="s">
        <v>51</v>
      </c>
    </row>
    <row r="4" customFormat="false" ht="15" hidden="false" customHeight="true" outlineLevel="0" collapsed="false">
      <c r="A4" s="3" t="s">
        <v>52</v>
      </c>
    </row>
    <row r="5" customFormat="false" ht="15" hidden="false" customHeight="true" outlineLevel="0" collapsed="false">
      <c r="A5" s="4" t="s">
        <v>53</v>
      </c>
      <c r="B5" s="15" t="n">
        <v>1000000</v>
      </c>
      <c r="C5" s="2" t="s">
        <v>54</v>
      </c>
    </row>
    <row r="6" customFormat="false" ht="15" hidden="false" customHeight="true" outlineLevel="0" collapsed="false">
      <c r="A6" s="4" t="s">
        <v>55</v>
      </c>
      <c r="B6" s="15" t="n">
        <v>6000000</v>
      </c>
      <c r="C6" s="2" t="s">
        <v>56</v>
      </c>
    </row>
    <row r="7" customFormat="false" ht="15" hidden="false" customHeight="true" outlineLevel="0" collapsed="false">
      <c r="A7" s="4" t="s">
        <v>7</v>
      </c>
      <c r="B7" s="16" t="n">
        <v>0.2</v>
      </c>
      <c r="C7" s="2" t="s">
        <v>8</v>
      </c>
    </row>
    <row r="9" customFormat="false" ht="15" hidden="false" customHeight="true" outlineLevel="0" collapsed="false">
      <c r="A9" s="3" t="s">
        <v>57</v>
      </c>
    </row>
    <row r="10" customFormat="false" ht="15" hidden="false" customHeight="true" outlineLevel="0" collapsed="false">
      <c r="A10" s="4" t="s">
        <v>58</v>
      </c>
      <c r="B10" s="17" t="n">
        <v>5.2</v>
      </c>
      <c r="C10" s="2" t="s">
        <v>59</v>
      </c>
    </row>
    <row r="11" customFormat="false" ht="15" hidden="false" customHeight="true" outlineLevel="0" collapsed="false">
      <c r="A11" s="4" t="s">
        <v>60</v>
      </c>
      <c r="B11" s="18" t="n">
        <v>350000</v>
      </c>
      <c r="C11" s="2" t="s">
        <v>61</v>
      </c>
    </row>
    <row r="12" customFormat="false" ht="15" hidden="false" customHeight="true" outlineLevel="0" collapsed="false">
      <c r="A12" s="4" t="s">
        <v>62</v>
      </c>
      <c r="B12" s="16" t="n">
        <v>0.025</v>
      </c>
      <c r="C12" s="2" t="s">
        <v>63</v>
      </c>
    </row>
    <row r="13" customFormat="false" ht="15" hidden="false" customHeight="true" outlineLevel="0" collapsed="false">
      <c r="A13" s="4" t="s">
        <v>64</v>
      </c>
      <c r="B13" s="16" t="n">
        <v>1</v>
      </c>
      <c r="C13" s="2" t="s">
        <v>65</v>
      </c>
    </row>
    <row r="14" customFormat="false" ht="15" hidden="false" customHeight="true" outlineLevel="0" collapsed="false">
      <c r="A14" s="4" t="s">
        <v>66</v>
      </c>
      <c r="B14" s="18" t="n">
        <v>800000</v>
      </c>
      <c r="C14" s="2" t="s">
        <v>67</v>
      </c>
    </row>
    <row r="15" customFormat="false" ht="15" hidden="false" customHeight="true" outlineLevel="0" collapsed="false">
      <c r="A15" s="4" t="s">
        <v>68</v>
      </c>
      <c r="B15" s="16" t="n">
        <v>0.03</v>
      </c>
      <c r="C15" s="2" t="s">
        <v>69</v>
      </c>
    </row>
    <row r="16" customFormat="false" ht="15" hidden="false" customHeight="true" outlineLevel="0" collapsed="false">
      <c r="A16" s="4" t="s">
        <v>70</v>
      </c>
      <c r="B16" s="16" t="n">
        <v>0</v>
      </c>
      <c r="C16" s="2" t="s">
        <v>71</v>
      </c>
    </row>
    <row r="17" customFormat="false" ht="15" hidden="false" customHeight="true" outlineLevel="0" collapsed="false">
      <c r="A17" s="4" t="s">
        <v>72</v>
      </c>
      <c r="B17" s="16" t="n">
        <f aca="false">$B$49</f>
        <v>0.533333333333337</v>
      </c>
      <c r="C17" s="2" t="s">
        <v>73</v>
      </c>
    </row>
    <row r="19" customFormat="false" ht="15" hidden="false" customHeight="true" outlineLevel="0" collapsed="false">
      <c r="A19" s="3" t="s">
        <v>74</v>
      </c>
    </row>
    <row r="20" customFormat="false" ht="15" hidden="false" customHeight="true" outlineLevel="0" collapsed="false">
      <c r="A20" s="4" t="s">
        <v>75</v>
      </c>
      <c r="B20" s="15" t="n">
        <v>25000</v>
      </c>
      <c r="C20" s="2" t="s">
        <v>76</v>
      </c>
    </row>
    <row r="21" customFormat="false" ht="15" hidden="false" customHeight="true" outlineLevel="0" collapsed="false">
      <c r="A21" s="4" t="s">
        <v>77</v>
      </c>
      <c r="B21" s="15" t="n">
        <v>1000</v>
      </c>
      <c r="C21" s="2" t="s">
        <v>78</v>
      </c>
    </row>
    <row r="22" customFormat="false" ht="15" hidden="false" customHeight="true" outlineLevel="0" collapsed="false">
      <c r="A22" s="4" t="s">
        <v>79</v>
      </c>
      <c r="B22" s="16" t="n">
        <v>0.45</v>
      </c>
      <c r="C22" s="2" t="s">
        <v>80</v>
      </c>
    </row>
    <row r="24" customFormat="false" ht="15" hidden="false" customHeight="true" outlineLevel="0" collapsed="false">
      <c r="A24" s="3" t="s">
        <v>81</v>
      </c>
    </row>
    <row r="25" customFormat="false" ht="15" hidden="false" customHeight="true" outlineLevel="0" collapsed="false">
      <c r="A25" s="4" t="s">
        <v>82</v>
      </c>
      <c r="B25" s="15" t="n">
        <v>48300</v>
      </c>
      <c r="C25" s="2" t="s">
        <v>83</v>
      </c>
    </row>
    <row r="26" customFormat="false" ht="15" hidden="false" customHeight="true" outlineLevel="0" collapsed="false">
      <c r="A26" s="4" t="s">
        <v>84</v>
      </c>
      <c r="B26" s="15" t="n">
        <v>50500</v>
      </c>
      <c r="C26" s="2" t="s">
        <v>85</v>
      </c>
    </row>
    <row r="28" customFormat="false" ht="26.4" hidden="false" customHeight="true" outlineLevel="0" collapsed="false">
      <c r="A28" s="19" t="s">
        <v>86</v>
      </c>
      <c r="B28" s="20"/>
      <c r="C28" s="21"/>
    </row>
    <row r="29" customFormat="false" ht="26.4" hidden="false" customHeight="true" outlineLevel="0" collapsed="false">
      <c r="A29" s="22" t="s">
        <v>87</v>
      </c>
      <c r="B29" s="23" t="n">
        <v>1</v>
      </c>
      <c r="C29" s="22" t="s">
        <v>88</v>
      </c>
    </row>
    <row r="30" customFormat="false" ht="15" hidden="false" customHeight="true" outlineLevel="0" collapsed="false">
      <c r="A30" s="22" t="s">
        <v>89</v>
      </c>
      <c r="B30" s="23" t="n">
        <v>1</v>
      </c>
      <c r="C30" s="22" t="s">
        <v>90</v>
      </c>
    </row>
    <row r="31" customFormat="false" ht="26.4" hidden="false" customHeight="true" outlineLevel="0" collapsed="false">
      <c r="A31" s="22" t="s">
        <v>91</v>
      </c>
      <c r="B31" s="24" t="n">
        <v>25000</v>
      </c>
      <c r="C31" s="22" t="s">
        <v>92</v>
      </c>
    </row>
    <row r="32" customFormat="false" ht="26.4" hidden="false" customHeight="true" outlineLevel="0" collapsed="false">
      <c r="A32" s="22" t="s">
        <v>93</v>
      </c>
      <c r="B32" s="24" t="n">
        <v>50000</v>
      </c>
      <c r="C32" s="22" t="s">
        <v>94</v>
      </c>
    </row>
    <row r="33" customFormat="false" ht="26.4" hidden="false" customHeight="true" outlineLevel="0" collapsed="false">
      <c r="A33" s="22" t="s">
        <v>95</v>
      </c>
      <c r="B33" s="25" t="n">
        <f aca="false">$B$58/$B$10</f>
        <v>28846.1538461538</v>
      </c>
      <c r="C33" s="22" t="s">
        <v>96</v>
      </c>
    </row>
    <row r="34" customFormat="false" ht="39.6" hidden="false" customHeight="true" outlineLevel="0" collapsed="false">
      <c r="A34" s="22" t="s">
        <v>97</v>
      </c>
      <c r="B34" s="26" t="n">
        <f aca="false">B50</f>
        <v>20</v>
      </c>
      <c r="C34" s="22" t="s">
        <v>98</v>
      </c>
    </row>
    <row r="35" customFormat="false" ht="15" hidden="false" customHeight="true" outlineLevel="0" collapsed="false">
      <c r="A35" s="22" t="s">
        <v>99</v>
      </c>
      <c r="B35" s="27" t="n">
        <v>46202.5</v>
      </c>
      <c r="C35" s="22" t="s">
        <v>100</v>
      </c>
    </row>
    <row r="36" customFormat="false" ht="39.6" hidden="false" customHeight="true" outlineLevel="0" collapsed="false">
      <c r="A36" s="22" t="s">
        <v>101</v>
      </c>
      <c r="B36" s="28" t="s">
        <v>102</v>
      </c>
      <c r="C36" s="22" t="s">
        <v>103</v>
      </c>
    </row>
    <row r="37" customFormat="false" ht="39.6" hidden="false" customHeight="true" outlineLevel="0" collapsed="false">
      <c r="A37" s="22" t="s">
        <v>104</v>
      </c>
      <c r="B37" s="28" t="s">
        <v>105</v>
      </c>
      <c r="C37" s="22" t="s">
        <v>106</v>
      </c>
    </row>
    <row r="38" customFormat="false" ht="26.4" hidden="false" customHeight="true" outlineLevel="0" collapsed="false">
      <c r="A38" s="22" t="s">
        <v>107</v>
      </c>
      <c r="B38" s="28" t="s">
        <v>108</v>
      </c>
      <c r="C38" s="22" t="s">
        <v>109</v>
      </c>
    </row>
    <row r="39" customFormat="false" ht="15" hidden="false" customHeight="true" outlineLevel="0" collapsed="false">
      <c r="A39" s="22" t="s">
        <v>110</v>
      </c>
      <c r="B39" s="28" t="s">
        <v>111</v>
      </c>
      <c r="C39" s="22" t="s">
        <v>112</v>
      </c>
    </row>
    <row r="40" customFormat="false" ht="26.4" hidden="false" customHeight="true" outlineLevel="0" collapsed="false">
      <c r="A40" s="22" t="s">
        <v>113</v>
      </c>
      <c r="B40" s="22" t="s">
        <v>67</v>
      </c>
      <c r="C40" s="22" t="s">
        <v>114</v>
      </c>
    </row>
    <row r="41" customFormat="false" ht="15" hidden="false" customHeight="true" outlineLevel="0" collapsed="false">
      <c r="A41" s="22"/>
      <c r="B41" s="22"/>
      <c r="C41" s="22"/>
    </row>
    <row r="42" customFormat="false" ht="15" hidden="false" customHeight="true" outlineLevel="0" collapsed="false">
      <c r="A42" s="19" t="s">
        <v>115</v>
      </c>
      <c r="B42" s="20"/>
      <c r="C42" s="21"/>
    </row>
    <row r="43" customFormat="false" ht="26.4" hidden="false" customHeight="true" outlineLevel="0" collapsed="false">
      <c r="A43" s="22" t="s">
        <v>116</v>
      </c>
      <c r="B43" s="29" t="n">
        <v>1000</v>
      </c>
      <c r="C43" s="22" t="s">
        <v>117</v>
      </c>
    </row>
    <row r="44" customFormat="false" ht="15" hidden="false" customHeight="true" outlineLevel="0" collapsed="false">
      <c r="A44" s="22" t="s">
        <v>118</v>
      </c>
      <c r="B44" s="29" t="n">
        <v>1500</v>
      </c>
      <c r="C44" s="22" t="s">
        <v>119</v>
      </c>
    </row>
    <row r="45" customFormat="false" ht="52.8" hidden="false" customHeight="true" outlineLevel="0" collapsed="false">
      <c r="A45" s="22" t="s">
        <v>120</v>
      </c>
      <c r="B45" s="29" t="n">
        <v>1583.3333333333</v>
      </c>
      <c r="C45" s="22" t="s">
        <v>121</v>
      </c>
    </row>
    <row r="46" customFormat="false" ht="39.6" hidden="false" customHeight="true" outlineLevel="0" collapsed="false">
      <c r="A46" s="22" t="s">
        <v>122</v>
      </c>
      <c r="B46" s="30" t="n">
        <f aca="false">SUM(B43:B45)</f>
        <v>4083.3333333333</v>
      </c>
      <c r="C46" s="22" t="s">
        <v>123</v>
      </c>
    </row>
    <row r="47" customFormat="false" ht="15" hidden="false" customHeight="true" outlineLevel="0" collapsed="false">
      <c r="A47" s="22" t="s">
        <v>124</v>
      </c>
      <c r="B47" s="30" t="n">
        <f aca="false">B11*B12</f>
        <v>8750</v>
      </c>
      <c r="C47" s="22" t="s">
        <v>125</v>
      </c>
    </row>
    <row r="48" customFormat="false" ht="15" hidden="false" customHeight="true" outlineLevel="0" collapsed="false">
      <c r="A48" s="22" t="s">
        <v>126</v>
      </c>
      <c r="B48" s="30" t="n">
        <f aca="false">B47-B46</f>
        <v>4666.6666666667</v>
      </c>
      <c r="C48" s="22" t="s">
        <v>127</v>
      </c>
    </row>
    <row r="49" customFormat="false" ht="15" hidden="false" customHeight="true" outlineLevel="0" collapsed="false">
      <c r="A49" s="22" t="s">
        <v>128</v>
      </c>
      <c r="B49" s="31" t="n">
        <f aca="false">IFERROR(B48/B47,0)</f>
        <v>0.533333333333337</v>
      </c>
      <c r="C49" s="22" t="s">
        <v>129</v>
      </c>
    </row>
    <row r="50" customFormat="false" ht="26.4" hidden="false" customHeight="true" outlineLevel="0" collapsed="false">
      <c r="A50" s="22" t="s">
        <v>130</v>
      </c>
      <c r="B50" s="32" t="n">
        <v>20</v>
      </c>
      <c r="C50" s="22" t="s">
        <v>131</v>
      </c>
    </row>
    <row r="51" customFormat="false" ht="26.4" hidden="false" customHeight="true" outlineLevel="0" collapsed="false">
      <c r="A51" s="22" t="s">
        <v>132</v>
      </c>
      <c r="B51" s="33" t="n">
        <v>0.25</v>
      </c>
      <c r="C51" s="22" t="s">
        <v>133</v>
      </c>
    </row>
    <row r="52" customFormat="false" ht="26.4" hidden="false" customHeight="true" outlineLevel="0" collapsed="false">
      <c r="A52" s="22" t="s">
        <v>134</v>
      </c>
      <c r="B52" s="33" t="n">
        <v>0.5</v>
      </c>
      <c r="C52" s="22" t="s">
        <v>133</v>
      </c>
    </row>
    <row r="53" customFormat="false" ht="26.4" hidden="false" customHeight="true" outlineLevel="0" collapsed="false">
      <c r="A53" s="22" t="s">
        <v>135</v>
      </c>
      <c r="B53" s="33" t="n">
        <v>0.75</v>
      </c>
      <c r="C53" s="22" t="s">
        <v>133</v>
      </c>
    </row>
    <row r="54" customFormat="false" ht="26.4" hidden="false" customHeight="true" outlineLevel="0" collapsed="false">
      <c r="A54" s="22" t="s">
        <v>136</v>
      </c>
      <c r="B54" s="33" t="n">
        <v>1</v>
      </c>
      <c r="C54" s="22" t="s">
        <v>133</v>
      </c>
    </row>
    <row r="55" customFormat="false" ht="15" hidden="false" customHeight="true" outlineLevel="0" collapsed="false">
      <c r="A55" s="22" t="s">
        <v>66</v>
      </c>
      <c r="B55" s="34" t="n">
        <f aca="false">B14</f>
        <v>800000</v>
      </c>
      <c r="C55" s="22" t="s">
        <v>67</v>
      </c>
    </row>
    <row r="56" customFormat="false" ht="15" hidden="false" customHeight="true" outlineLevel="0" collapsed="false">
      <c r="A56" s="22" t="s">
        <v>137</v>
      </c>
      <c r="B56" s="29" t="n">
        <v>5000</v>
      </c>
      <c r="C56" s="22" t="s">
        <v>138</v>
      </c>
    </row>
    <row r="57" customFormat="false" ht="15" hidden="false" customHeight="true" outlineLevel="0" collapsed="false">
      <c r="A57" s="22" t="s">
        <v>139</v>
      </c>
      <c r="B57" s="30" t="n">
        <f aca="false">B55*B15-B56</f>
        <v>19000</v>
      </c>
      <c r="C57" s="22" t="s">
        <v>140</v>
      </c>
    </row>
    <row r="58" customFormat="false" ht="15" hidden="false" customHeight="true" outlineLevel="0" collapsed="false">
      <c r="A58" s="22" t="s">
        <v>141</v>
      </c>
      <c r="B58" s="29" t="n">
        <v>150000</v>
      </c>
      <c r="C58" s="22" t="s">
        <v>142</v>
      </c>
    </row>
    <row r="59" customFormat="false" ht="26.4" hidden="false" customHeight="true" outlineLevel="0" collapsed="false">
      <c r="A59" s="22" t="s">
        <v>143</v>
      </c>
      <c r="B59" s="35" t="n">
        <v>0.03</v>
      </c>
      <c r="C59" s="22" t="s">
        <v>144</v>
      </c>
    </row>
    <row r="60" customFormat="false" ht="15" hidden="false" customHeight="true" outlineLevel="0" collapsed="false">
      <c r="A60" s="22" t="s">
        <v>145</v>
      </c>
      <c r="B60" s="30" t="n">
        <f aca="false">B11*B59</f>
        <v>10500</v>
      </c>
      <c r="C60" s="22" t="s">
        <v>146</v>
      </c>
    </row>
    <row r="61" customFormat="false" ht="26.4" hidden="false" customHeight="true" outlineLevel="0" collapsed="false">
      <c r="A61" s="22" t="s">
        <v>147</v>
      </c>
      <c r="B61" s="30" t="n">
        <f aca="false">B60-B46</f>
        <v>6416.6666666667</v>
      </c>
      <c r="C61" s="22" t="s">
        <v>148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8" min="2" style="0" width="10"/>
  </cols>
  <sheetData>
    <row r="1" customFormat="false" ht="15" hidden="false" customHeight="false" outlineLevel="0" collapsed="false">
      <c r="A1" s="36" t="s">
        <v>149</v>
      </c>
    </row>
    <row r="3" customFormat="false" ht="15" hidden="false" customHeight="false" outlineLevel="0" collapsed="false">
      <c r="A3" s="37" t="s">
        <v>150</v>
      </c>
      <c r="B3" s="38" t="s">
        <v>151</v>
      </c>
      <c r="C3" s="38" t="s">
        <v>152</v>
      </c>
      <c r="D3" s="38" t="s">
        <v>153</v>
      </c>
      <c r="E3" s="38" t="s">
        <v>154</v>
      </c>
      <c r="F3" s="38" t="s">
        <v>155</v>
      </c>
      <c r="G3" s="38" t="s">
        <v>156</v>
      </c>
      <c r="H3" s="38" t="s">
        <v>157</v>
      </c>
      <c r="I3" s="38" t="s">
        <v>158</v>
      </c>
      <c r="J3" s="38" t="s">
        <v>159</v>
      </c>
      <c r="K3" s="38" t="s">
        <v>160</v>
      </c>
      <c r="L3" s="38" t="s">
        <v>161</v>
      </c>
      <c r="M3" s="38" t="s">
        <v>162</v>
      </c>
      <c r="N3" s="38" t="s">
        <v>163</v>
      </c>
      <c r="O3" s="38" t="s">
        <v>164</v>
      </c>
      <c r="P3" s="38" t="s">
        <v>165</v>
      </c>
      <c r="Q3" s="38" t="s">
        <v>166</v>
      </c>
      <c r="R3" s="38" t="s">
        <v>167</v>
      </c>
      <c r="S3" s="38" t="s">
        <v>168</v>
      </c>
      <c r="T3" s="38" t="s">
        <v>169</v>
      </c>
      <c r="U3" s="38" t="s">
        <v>170</v>
      </c>
      <c r="V3" s="38" t="s">
        <v>171</v>
      </c>
      <c r="W3" s="38" t="s">
        <v>172</v>
      </c>
      <c r="X3" s="38" t="s">
        <v>173</v>
      </c>
      <c r="Y3" s="38" t="s">
        <v>174</v>
      </c>
      <c r="Z3" s="38" t="s">
        <v>175</v>
      </c>
      <c r="AA3" s="38" t="s">
        <v>176</v>
      </c>
      <c r="AB3" s="38" t="s">
        <v>177</v>
      </c>
    </row>
    <row r="4" customFormat="false" ht="15" hidden="false" customHeight="false" outlineLevel="0" collapsed="false">
      <c r="A4" s="39" t="s">
        <v>178</v>
      </c>
      <c r="B4" s="15" t="n">
        <v>2</v>
      </c>
      <c r="C4" s="15" t="n">
        <v>3</v>
      </c>
      <c r="D4" s="15" t="n">
        <v>4</v>
      </c>
      <c r="E4" s="15" t="n">
        <v>6</v>
      </c>
      <c r="F4" s="15" t="n">
        <v>7</v>
      </c>
      <c r="G4" s="15" t="n">
        <v>8</v>
      </c>
      <c r="H4" s="15" t="n">
        <v>10</v>
      </c>
      <c r="I4" s="15" t="n">
        <v>12</v>
      </c>
      <c r="J4" s="15" t="n">
        <v>14</v>
      </c>
      <c r="K4" s="15" t="n">
        <v>16</v>
      </c>
      <c r="L4" s="15" t="n">
        <v>18</v>
      </c>
      <c r="M4" s="15" t="n">
        <v>20</v>
      </c>
      <c r="N4" s="15" t="n">
        <v>22</v>
      </c>
      <c r="O4" s="15" t="n">
        <v>24</v>
      </c>
      <c r="P4" s="15" t="n">
        <v>26</v>
      </c>
      <c r="Q4" s="15" t="n">
        <v>28</v>
      </c>
      <c r="R4" s="15" t="n">
        <v>30</v>
      </c>
      <c r="S4" s="15" t="n">
        <v>31</v>
      </c>
      <c r="T4" s="15" t="n">
        <v>31</v>
      </c>
      <c r="U4" s="15" t="n">
        <v>31</v>
      </c>
      <c r="V4" s="15" t="n">
        <v>32</v>
      </c>
      <c r="W4" s="15" t="n">
        <v>32</v>
      </c>
      <c r="X4" s="15" t="n">
        <v>32</v>
      </c>
      <c r="Y4" s="15" t="n">
        <v>32</v>
      </c>
      <c r="Z4" s="40" t="n">
        <f aca="false">M4</f>
        <v>20</v>
      </c>
      <c r="AA4" s="40" t="n">
        <f aca="false">Y4</f>
        <v>32</v>
      </c>
      <c r="AB4" s="40" t="n">
        <f aca="false">Y4</f>
        <v>32</v>
      </c>
    </row>
    <row r="5" customFormat="false" ht="15" hidden="false" customHeight="false" outlineLevel="0" collapsed="false">
      <c r="A5" s="39" t="s">
        <v>179</v>
      </c>
      <c r="B5" s="15" t="n">
        <f aca="false">'Operating Drivers'!B15</f>
        <v>3</v>
      </c>
      <c r="C5" s="15" t="n">
        <f aca="false">'Operating Drivers'!C15</f>
        <v>8</v>
      </c>
      <c r="D5" s="15" t="n">
        <f aca="false">'Operating Drivers'!D15</f>
        <v>13</v>
      </c>
      <c r="E5" s="15" t="n">
        <f aca="false">'Operating Drivers'!E15</f>
        <v>19</v>
      </c>
      <c r="F5" s="15" t="n">
        <f aca="false">'Operating Drivers'!F15</f>
        <v>24</v>
      </c>
      <c r="G5" s="15" t="n">
        <f aca="false">'Operating Drivers'!G15</f>
        <v>32</v>
      </c>
      <c r="H5" s="15" t="n">
        <f aca="false">'Operating Drivers'!H15</f>
        <v>49</v>
      </c>
      <c r="I5" s="15" t="n">
        <f aca="false">'Operating Drivers'!I15</f>
        <v>73</v>
      </c>
      <c r="J5" s="15" t="n">
        <f aca="false">'Operating Drivers'!J15</f>
        <v>96</v>
      </c>
      <c r="K5" s="15" t="n">
        <f aca="false">'Operating Drivers'!K15</f>
        <v>125</v>
      </c>
      <c r="L5" s="15" t="n">
        <f aca="false">'Operating Drivers'!L15</f>
        <v>154</v>
      </c>
      <c r="M5" s="15" t="n">
        <f aca="false">'Operating Drivers'!M15</f>
        <v>198</v>
      </c>
      <c r="N5" s="15" t="n">
        <f aca="false">'Operating Drivers'!N15</f>
        <v>244</v>
      </c>
      <c r="O5" s="15" t="n">
        <f aca="false">'Operating Drivers'!O15</f>
        <v>286</v>
      </c>
      <c r="P5" s="15" t="n">
        <f aca="false">'Operating Drivers'!P15</f>
        <v>328</v>
      </c>
      <c r="Q5" s="15" t="n">
        <f aca="false">'Operating Drivers'!Q15</f>
        <v>370</v>
      </c>
      <c r="R5" s="15" t="n">
        <f aca="false">'Operating Drivers'!R15</f>
        <v>405</v>
      </c>
      <c r="S5" s="15" t="n">
        <f aca="false">'Operating Drivers'!S15</f>
        <v>435</v>
      </c>
      <c r="T5" s="15" t="n">
        <f aca="false">'Operating Drivers'!T15</f>
        <v>452</v>
      </c>
      <c r="U5" s="15" t="n">
        <f aca="false">'Operating Drivers'!U15</f>
        <v>461</v>
      </c>
      <c r="V5" s="15" t="n">
        <f aca="false">'Operating Drivers'!V15</f>
        <v>471</v>
      </c>
      <c r="W5" s="15" t="n">
        <f aca="false">'Operating Drivers'!W15</f>
        <v>480</v>
      </c>
      <c r="X5" s="15" t="n">
        <f aca="false">'Operating Drivers'!X15</f>
        <v>489</v>
      </c>
      <c r="Y5" s="15" t="n">
        <f aca="false">'Operating Drivers'!Y15</f>
        <v>490</v>
      </c>
      <c r="Z5" s="40" t="n">
        <f aca="false">SUM(B5:M5)</f>
        <v>794</v>
      </c>
      <c r="AA5" s="40" t="n">
        <f aca="false">SUM(N5:Y5)</f>
        <v>4911</v>
      </c>
      <c r="AB5" s="40" t="n">
        <f aca="false">Z5+AA5</f>
        <v>5705</v>
      </c>
    </row>
    <row r="6" customFormat="false" ht="15" hidden="false" customHeight="false" outlineLevel="0" collapsed="false">
      <c r="A6" s="39" t="s">
        <v>180</v>
      </c>
      <c r="B6" s="41" t="n">
        <v>2</v>
      </c>
      <c r="C6" s="41" t="n">
        <v>2.4</v>
      </c>
      <c r="D6" s="41" t="n">
        <v>2.9</v>
      </c>
      <c r="E6" s="41" t="n">
        <v>3.3</v>
      </c>
      <c r="F6" s="41" t="n">
        <v>3.7</v>
      </c>
      <c r="G6" s="41" t="n">
        <v>4.2</v>
      </c>
      <c r="H6" s="41" t="n">
        <v>4.6</v>
      </c>
      <c r="I6" s="41" t="n">
        <v>5</v>
      </c>
      <c r="J6" s="41" t="n">
        <v>5.5</v>
      </c>
      <c r="K6" s="41" t="n">
        <v>5.9</v>
      </c>
      <c r="L6" s="41" t="n">
        <v>6.3</v>
      </c>
      <c r="M6" s="41" t="n">
        <v>6.8</v>
      </c>
      <c r="N6" s="41" t="n">
        <v>7.2</v>
      </c>
      <c r="O6" s="41" t="n">
        <v>7.7</v>
      </c>
      <c r="P6" s="41" t="n">
        <v>8.1</v>
      </c>
      <c r="Q6" s="41" t="n">
        <v>8.5</v>
      </c>
      <c r="R6" s="41" t="n">
        <v>9</v>
      </c>
      <c r="S6" s="41" t="n">
        <v>9.4</v>
      </c>
      <c r="T6" s="41" t="n">
        <v>9.8</v>
      </c>
      <c r="U6" s="41" t="n">
        <v>10.3</v>
      </c>
      <c r="V6" s="41" t="n">
        <v>10.7</v>
      </c>
      <c r="W6" s="41" t="n">
        <v>11.1</v>
      </c>
      <c r="X6" s="41" t="n">
        <v>11.6</v>
      </c>
      <c r="Y6" s="41" t="n">
        <v>12</v>
      </c>
      <c r="Z6" s="40" t="n">
        <f aca="false">M6</f>
        <v>6.8</v>
      </c>
      <c r="AA6" s="40" t="n">
        <f aca="false">Y6</f>
        <v>12</v>
      </c>
      <c r="AB6" s="40" t="n">
        <f aca="false">Y6</f>
        <v>12</v>
      </c>
    </row>
    <row r="7" customFormat="false" ht="15" hidden="false" customHeight="false" outlineLevel="0" collapsed="false">
      <c r="A7" s="39" t="s">
        <v>181</v>
      </c>
      <c r="B7" s="41" t="n">
        <v>4</v>
      </c>
      <c r="C7" s="41" t="n">
        <v>6</v>
      </c>
      <c r="D7" s="41" t="n">
        <v>8</v>
      </c>
      <c r="E7" s="41" t="n">
        <v>10</v>
      </c>
      <c r="F7" s="41" t="n">
        <v>12</v>
      </c>
      <c r="G7" s="41" t="n">
        <v>14</v>
      </c>
      <c r="H7" s="41" t="n">
        <v>16</v>
      </c>
      <c r="I7" s="41" t="n">
        <v>18</v>
      </c>
      <c r="J7" s="41" t="n">
        <v>20</v>
      </c>
      <c r="K7" s="41" t="n">
        <v>22</v>
      </c>
      <c r="L7" s="41" t="n">
        <v>24</v>
      </c>
      <c r="M7" s="41" t="n">
        <v>26</v>
      </c>
      <c r="N7" s="41" t="n">
        <v>28</v>
      </c>
      <c r="O7" s="41" t="n">
        <v>30</v>
      </c>
      <c r="P7" s="41" t="n">
        <v>32</v>
      </c>
      <c r="Q7" s="41" t="n">
        <v>34</v>
      </c>
      <c r="R7" s="41" t="n">
        <v>36</v>
      </c>
      <c r="S7" s="41" t="n">
        <v>38</v>
      </c>
      <c r="T7" s="41" t="n">
        <v>40</v>
      </c>
      <c r="U7" s="41" t="n">
        <v>42</v>
      </c>
      <c r="V7" s="41" t="n">
        <v>44</v>
      </c>
      <c r="W7" s="41" t="n">
        <v>46</v>
      </c>
      <c r="X7" s="41" t="n">
        <v>48</v>
      </c>
      <c r="Y7" s="41" t="n">
        <v>50</v>
      </c>
      <c r="Z7" s="40" t="n">
        <f aca="false">M7</f>
        <v>26</v>
      </c>
      <c r="AA7" s="40" t="n">
        <f aca="false">Y7</f>
        <v>50</v>
      </c>
      <c r="AB7" s="40" t="n">
        <f aca="false">Y7</f>
        <v>50</v>
      </c>
    </row>
    <row r="9" customFormat="false" ht="15" hidden="false" customHeight="false" outlineLevel="0" collapsed="false">
      <c r="A9" s="39" t="s">
        <v>182</v>
      </c>
      <c r="B9" s="42" t="n">
        <f aca="false">B5*Assumptions!$B$47/Assumptions!$B$10</f>
        <v>5048.07692307692</v>
      </c>
      <c r="C9" s="42" t="n">
        <f aca="false">C5*Assumptions!$B$47/Assumptions!$B$10</f>
        <v>13461.5384615385</v>
      </c>
      <c r="D9" s="42" t="n">
        <f aca="false">D5*Assumptions!$B$47/Assumptions!$B$10</f>
        <v>21875</v>
      </c>
      <c r="E9" s="42" t="n">
        <f aca="false">E5*Assumptions!$B$47/Assumptions!$B$10</f>
        <v>31971.1538461538</v>
      </c>
      <c r="F9" s="42" t="n">
        <f aca="false">F5*Assumptions!$B$47/Assumptions!$B$10</f>
        <v>40384.6153846154</v>
      </c>
      <c r="G9" s="42" t="n">
        <f aca="false">G5*Assumptions!$B$47/Assumptions!$B$10</f>
        <v>53846.1538461538</v>
      </c>
      <c r="H9" s="42" t="n">
        <f aca="false">H5*Assumptions!$B$47/Assumptions!$B$10</f>
        <v>82451.9230769231</v>
      </c>
      <c r="I9" s="42" t="n">
        <f aca="false">I5*Assumptions!$B$47/Assumptions!$B$10</f>
        <v>122836.538461538</v>
      </c>
      <c r="J9" s="42" t="n">
        <f aca="false">J5*Assumptions!$B$47/Assumptions!$B$10</f>
        <v>161538.461538462</v>
      </c>
      <c r="K9" s="42" t="n">
        <f aca="false">K5*Assumptions!$B$47/Assumptions!$B$10</f>
        <v>210336.538461538</v>
      </c>
      <c r="L9" s="42" t="n">
        <f aca="false">L5*Assumptions!$B$47/Assumptions!$B$10</f>
        <v>259134.615384615</v>
      </c>
      <c r="M9" s="42" t="n">
        <f aca="false">M5*Assumptions!$B$47/Assumptions!$B$10</f>
        <v>333173.076923077</v>
      </c>
      <c r="N9" s="42" t="n">
        <f aca="false">N5*Assumptions!$B$47/Assumptions!$B$10</f>
        <v>410576.923076923</v>
      </c>
      <c r="O9" s="42" t="n">
        <f aca="false">O5*Assumptions!$B$47/Assumptions!$B$10</f>
        <v>481250</v>
      </c>
      <c r="P9" s="42" t="n">
        <f aca="false">P5*Assumptions!$B$47/Assumptions!$B$10</f>
        <v>551923.076923077</v>
      </c>
      <c r="Q9" s="42" t="n">
        <f aca="false">Q5*Assumptions!$B$47/Assumptions!$B$10</f>
        <v>622596.153846154</v>
      </c>
      <c r="R9" s="42" t="n">
        <f aca="false">R5*Assumptions!$B$47/Assumptions!$B$10</f>
        <v>681490.384615385</v>
      </c>
      <c r="S9" s="42" t="n">
        <f aca="false">S5*Assumptions!$B$47/Assumptions!$B$10</f>
        <v>731971.153846154</v>
      </c>
      <c r="T9" s="42" t="n">
        <f aca="false">T5*Assumptions!$B$47/Assumptions!$B$10</f>
        <v>760576.923076923</v>
      </c>
      <c r="U9" s="42" t="n">
        <f aca="false">U5*Assumptions!$B$47/Assumptions!$B$10</f>
        <v>775721.153846154</v>
      </c>
      <c r="V9" s="42" t="n">
        <f aca="false">V5*Assumptions!$B$47/Assumptions!$B$10</f>
        <v>792548.076923077</v>
      </c>
      <c r="W9" s="42" t="n">
        <f aca="false">W5*Assumptions!$B$47/Assumptions!$B$10</f>
        <v>807692.307692308</v>
      </c>
      <c r="X9" s="42" t="n">
        <f aca="false">X5*Assumptions!$B$47/Assumptions!$B$10</f>
        <v>822836.538461538</v>
      </c>
      <c r="Y9" s="42" t="n">
        <f aca="false">Y5*Assumptions!$B$47/Assumptions!$B$10</f>
        <v>824519.230769231</v>
      </c>
      <c r="Z9" s="43" t="n">
        <f aca="false">SUM(B9:M9)</f>
        <v>1336057.69230769</v>
      </c>
      <c r="AA9" s="43" t="n">
        <f aca="false">SUM(N9:Y9)</f>
        <v>8263701.92307692</v>
      </c>
      <c r="AB9" s="43" t="n">
        <f aca="false">Z9+AA9</f>
        <v>9599759.61538462</v>
      </c>
    </row>
    <row r="10" customFormat="false" ht="15" hidden="false" customHeight="false" outlineLevel="0" collapsed="false">
      <c r="A10" s="39" t="s">
        <v>183</v>
      </c>
      <c r="B10" s="42" t="n">
        <f aca="false">(B6*Assumptions!$B$20+B7*Assumptions!$B$21)/Assumptions!$B$10</f>
        <v>10384.6153846154</v>
      </c>
      <c r="C10" s="42" t="n">
        <f aca="false">(C6*Assumptions!$B$20+C7*Assumptions!$B$21)/Assumptions!$B$10</f>
        <v>12692.3076923077</v>
      </c>
      <c r="D10" s="42" t="n">
        <f aca="false">(D6*Assumptions!$B$20+D7*Assumptions!$B$21)/Assumptions!$B$10</f>
        <v>15480.7692307692</v>
      </c>
      <c r="E10" s="42" t="n">
        <f aca="false">(E6*Assumptions!$B$20+E7*Assumptions!$B$21)/Assumptions!$B$10</f>
        <v>17788.4615384615</v>
      </c>
      <c r="F10" s="42" t="n">
        <f aca="false">(F6*Assumptions!$B$20+F7*Assumptions!$B$21)/Assumptions!$B$10</f>
        <v>20096.1538461538</v>
      </c>
      <c r="G10" s="42" t="n">
        <f aca="false">(G6*Assumptions!$B$20+G7*Assumptions!$B$21)/Assumptions!$B$10</f>
        <v>22884.6153846154</v>
      </c>
      <c r="H10" s="42" t="n">
        <f aca="false">(H6*Assumptions!$B$20+H7*Assumptions!$B$21)/Assumptions!$B$10</f>
        <v>25192.3076923077</v>
      </c>
      <c r="I10" s="42" t="n">
        <f aca="false">(I6*Assumptions!$B$20+I7*Assumptions!$B$21)/Assumptions!$B$10</f>
        <v>27500</v>
      </c>
      <c r="J10" s="42" t="n">
        <f aca="false">(J6*Assumptions!$B$20+J7*Assumptions!$B$21)/Assumptions!$B$10</f>
        <v>30288.4615384615</v>
      </c>
      <c r="K10" s="42" t="n">
        <f aca="false">(K6*Assumptions!$B$20+K7*Assumptions!$B$21)/Assumptions!$B$10</f>
        <v>32596.1538461538</v>
      </c>
      <c r="L10" s="42" t="n">
        <f aca="false">(L6*Assumptions!$B$20+L7*Assumptions!$B$21)/Assumptions!$B$10</f>
        <v>34903.8461538462</v>
      </c>
      <c r="M10" s="42" t="n">
        <f aca="false">(M6*Assumptions!$B$20+M7*Assumptions!$B$21)/Assumptions!$B$10</f>
        <v>37692.3076923077</v>
      </c>
      <c r="N10" s="42" t="n">
        <f aca="false">(N6*Assumptions!$B$20+N7*Assumptions!$B$21)/Assumptions!$B$10</f>
        <v>40000</v>
      </c>
      <c r="O10" s="42" t="n">
        <f aca="false">(O6*Assumptions!$B$20+O7*Assumptions!$B$21)/Assumptions!$B$10</f>
        <v>42788.4615384615</v>
      </c>
      <c r="P10" s="42" t="n">
        <f aca="false">(P6*Assumptions!$B$20+P7*Assumptions!$B$21)/Assumptions!$B$10</f>
        <v>45096.1538461538</v>
      </c>
      <c r="Q10" s="42" t="n">
        <f aca="false">(Q6*Assumptions!$B$20+Q7*Assumptions!$B$21)/Assumptions!$B$10</f>
        <v>47403.8461538462</v>
      </c>
      <c r="R10" s="42" t="n">
        <f aca="false">(R6*Assumptions!$B$20+R7*Assumptions!$B$21)/Assumptions!$B$10</f>
        <v>50192.3076923077</v>
      </c>
      <c r="S10" s="42" t="n">
        <f aca="false">(S6*Assumptions!$B$20+S7*Assumptions!$B$21)/Assumptions!$B$10</f>
        <v>52500</v>
      </c>
      <c r="T10" s="42" t="n">
        <f aca="false">(T6*Assumptions!$B$20+T7*Assumptions!$B$21)/Assumptions!$B$10</f>
        <v>54807.6923076923</v>
      </c>
      <c r="U10" s="42" t="n">
        <f aca="false">(U6*Assumptions!$B$20+U7*Assumptions!$B$21)/Assumptions!$B$10</f>
        <v>57596.1538461538</v>
      </c>
      <c r="V10" s="42" t="n">
        <f aca="false">(V6*Assumptions!$B$20+V7*Assumptions!$B$21)/Assumptions!$B$10</f>
        <v>59903.8461538462</v>
      </c>
      <c r="W10" s="42" t="n">
        <f aca="false">(W6*Assumptions!$B$20+W7*Assumptions!$B$21)/Assumptions!$B$10</f>
        <v>62211.5384615385</v>
      </c>
      <c r="X10" s="42" t="n">
        <f aca="false">(X6*Assumptions!$B$20+X7*Assumptions!$B$21)/Assumptions!$B$10</f>
        <v>65000</v>
      </c>
      <c r="Y10" s="42" t="n">
        <f aca="false">(Y6*Assumptions!$B$20+Y7*Assumptions!$B$21)/Assumptions!$B$10</f>
        <v>67307.6923076923</v>
      </c>
      <c r="Z10" s="43" t="n">
        <f aca="false">SUM(B10:M10)</f>
        <v>287500</v>
      </c>
      <c r="AA10" s="43" t="n">
        <f aca="false">SUM(N10:Y10)</f>
        <v>644807.692307692</v>
      </c>
      <c r="AB10" s="43" t="n">
        <f aca="false">Z10+AA10</f>
        <v>932307.692307692</v>
      </c>
    </row>
    <row r="11" customFormat="false" ht="15" hidden="false" customHeight="false" outlineLevel="0" collapsed="false">
      <c r="A11" s="44" t="s">
        <v>184</v>
      </c>
      <c r="B11" s="45" t="n">
        <f aca="false">B9+B10</f>
        <v>15432.6923076923</v>
      </c>
      <c r="C11" s="45" t="n">
        <f aca="false">C9+C10</f>
        <v>26153.8461538462</v>
      </c>
      <c r="D11" s="45" t="n">
        <f aca="false">D9+D10</f>
        <v>37355.7692307692</v>
      </c>
      <c r="E11" s="45" t="n">
        <f aca="false">E9+E10</f>
        <v>49759.6153846154</v>
      </c>
      <c r="F11" s="45" t="n">
        <f aca="false">F9+F10</f>
        <v>60480.7692307692</v>
      </c>
      <c r="G11" s="45" t="n">
        <f aca="false">G9+G10</f>
        <v>76730.7692307692</v>
      </c>
      <c r="H11" s="45" t="n">
        <f aca="false">H9+H10</f>
        <v>107644.230769231</v>
      </c>
      <c r="I11" s="45" t="n">
        <f aca="false">I9+I10</f>
        <v>150336.538461538</v>
      </c>
      <c r="J11" s="45" t="n">
        <f aca="false">J9+J10</f>
        <v>191826.923076923</v>
      </c>
      <c r="K11" s="45" t="n">
        <f aca="false">K9+K10</f>
        <v>242932.692307692</v>
      </c>
      <c r="L11" s="45" t="n">
        <f aca="false">L9+L10</f>
        <v>294038.461538462</v>
      </c>
      <c r="M11" s="45" t="n">
        <f aca="false">M9+M10</f>
        <v>370865.384615385</v>
      </c>
      <c r="N11" s="45" t="n">
        <f aca="false">N9+N10</f>
        <v>450576.923076923</v>
      </c>
      <c r="O11" s="45" t="n">
        <f aca="false">O9+O10</f>
        <v>524038.461538462</v>
      </c>
      <c r="P11" s="45" t="n">
        <f aca="false">P9+P10</f>
        <v>597019.230769231</v>
      </c>
      <c r="Q11" s="45" t="n">
        <f aca="false">Q9+Q10</f>
        <v>670000</v>
      </c>
      <c r="R11" s="45" t="n">
        <f aca="false">R9+R10</f>
        <v>731682.692307692</v>
      </c>
      <c r="S11" s="45" t="n">
        <f aca="false">S9+S10</f>
        <v>784471.153846154</v>
      </c>
      <c r="T11" s="45" t="n">
        <f aca="false">T9+T10</f>
        <v>815384.615384615</v>
      </c>
      <c r="U11" s="45" t="n">
        <f aca="false">U9+U10</f>
        <v>833317.307692308</v>
      </c>
      <c r="V11" s="45" t="n">
        <f aca="false">V9+V10</f>
        <v>852451.923076923</v>
      </c>
      <c r="W11" s="45" t="n">
        <f aca="false">W9+W10</f>
        <v>869903.846153846</v>
      </c>
      <c r="X11" s="45" t="n">
        <f aca="false">X9+X10</f>
        <v>887836.538461538</v>
      </c>
      <c r="Y11" s="45" t="n">
        <f aca="false">Y9+Y10</f>
        <v>891826.923076923</v>
      </c>
      <c r="Z11" s="46" t="n">
        <f aca="false">SUM(B11:M11)</f>
        <v>1623557.69230769</v>
      </c>
      <c r="AA11" s="46" t="n">
        <f aca="false">SUM(N11:Y11)</f>
        <v>8908509.61538462</v>
      </c>
      <c r="AB11" s="46" t="n">
        <f aca="false">Z11+AA11</f>
        <v>10532067.3076923</v>
      </c>
    </row>
    <row r="12" customFormat="false" ht="15" hidden="false" customHeight="false" outlineLevel="0" collapsed="false">
      <c r="A12" s="39" t="s">
        <v>185</v>
      </c>
      <c r="B12" s="42" t="n">
        <f aca="false">B5*Assumptions!$B$48/Assumptions!$B$10</f>
        <v>2692.30769230771</v>
      </c>
      <c r="C12" s="42" t="n">
        <f aca="false">C5*Assumptions!$B$48/Assumptions!$B$10</f>
        <v>7179.48717948723</v>
      </c>
      <c r="D12" s="42" t="n">
        <f aca="false">D5*Assumptions!$B$48/Assumptions!$B$10</f>
        <v>11666.6666666667</v>
      </c>
      <c r="E12" s="42" t="n">
        <f aca="false">E5*Assumptions!$B$48/Assumptions!$B$10</f>
        <v>17051.2820512822</v>
      </c>
      <c r="F12" s="42" t="n">
        <f aca="false">F5*Assumptions!$B$48/Assumptions!$B$10</f>
        <v>21538.4615384617</v>
      </c>
      <c r="G12" s="42" t="n">
        <f aca="false">G5*Assumptions!$B$48/Assumptions!$B$10</f>
        <v>28717.9487179489</v>
      </c>
      <c r="H12" s="42" t="n">
        <f aca="false">H5*Assumptions!$B$48/Assumptions!$B$10</f>
        <v>43974.3589743593</v>
      </c>
      <c r="I12" s="42" t="n">
        <f aca="false">I5*Assumptions!$B$48/Assumptions!$B$10</f>
        <v>65512.820512821</v>
      </c>
      <c r="J12" s="42" t="n">
        <f aca="false">J5*Assumptions!$B$48/Assumptions!$B$10</f>
        <v>86153.8461538468</v>
      </c>
      <c r="K12" s="42" t="n">
        <f aca="false">K5*Assumptions!$B$48/Assumptions!$B$10</f>
        <v>112179.487179488</v>
      </c>
      <c r="L12" s="42" t="n">
        <f aca="false">L5*Assumptions!$B$48/Assumptions!$B$10</f>
        <v>138205.128205129</v>
      </c>
      <c r="M12" s="42" t="n">
        <f aca="false">M5*Assumptions!$B$48/Assumptions!$B$10</f>
        <v>177692.307692309</v>
      </c>
      <c r="N12" s="42" t="n">
        <f aca="false">N5*Assumptions!$B$48/Assumptions!$B$10</f>
        <v>218974.358974361</v>
      </c>
      <c r="O12" s="42" t="n">
        <f aca="false">O5*Assumptions!$B$48/Assumptions!$B$10</f>
        <v>256666.666666668</v>
      </c>
      <c r="P12" s="42" t="n">
        <f aca="false">P5*Assumptions!$B$48/Assumptions!$B$10</f>
        <v>294358.974358976</v>
      </c>
      <c r="Q12" s="42" t="n">
        <f aca="false">Q5*Assumptions!$B$48/Assumptions!$B$10</f>
        <v>332051.282051284</v>
      </c>
      <c r="R12" s="42" t="n">
        <f aca="false">R5*Assumptions!$B$48/Assumptions!$B$10</f>
        <v>363461.538461541</v>
      </c>
      <c r="S12" s="42" t="n">
        <f aca="false">S5*Assumptions!$B$48/Assumptions!$B$10</f>
        <v>390384.615384618</v>
      </c>
      <c r="T12" s="42" t="n">
        <f aca="false">T5*Assumptions!$B$48/Assumptions!$B$10</f>
        <v>405641.025641029</v>
      </c>
      <c r="U12" s="42" t="n">
        <f aca="false">U5*Assumptions!$B$48/Assumptions!$B$10</f>
        <v>413717.948717952</v>
      </c>
      <c r="V12" s="42" t="n">
        <f aca="false">V5*Assumptions!$B$48/Assumptions!$B$10</f>
        <v>422692.307692311</v>
      </c>
      <c r="W12" s="42" t="n">
        <f aca="false">W5*Assumptions!$B$48/Assumptions!$B$10</f>
        <v>430769.230769234</v>
      </c>
      <c r="X12" s="42" t="n">
        <f aca="false">X5*Assumptions!$B$48/Assumptions!$B$10</f>
        <v>438846.153846157</v>
      </c>
      <c r="Y12" s="42" t="n">
        <f aca="false">Y5*Assumptions!$B$48/Assumptions!$B$10</f>
        <v>439743.589743593</v>
      </c>
      <c r="Z12" s="43" t="n">
        <f aca="false">SUM(B12:M12)</f>
        <v>712564.102564108</v>
      </c>
      <c r="AA12" s="43" t="n">
        <f aca="false">SUM(N12:Y12)</f>
        <v>4407307.69230772</v>
      </c>
      <c r="AB12" s="43" t="n">
        <f aca="false">Z12+AA12</f>
        <v>5119871.79487183</v>
      </c>
    </row>
    <row r="13" customFormat="false" ht="15" hidden="false" customHeight="false" outlineLevel="0" collapsed="false">
      <c r="A13" s="39" t="s">
        <v>186</v>
      </c>
      <c r="B13" s="42" t="n">
        <f aca="false">B10*Assumptions!$B$22</f>
        <v>4673.07692307692</v>
      </c>
      <c r="C13" s="42" t="n">
        <f aca="false">C10*Assumptions!$B$22</f>
        <v>5711.53846153846</v>
      </c>
      <c r="D13" s="42" t="n">
        <f aca="false">D10*Assumptions!$B$22</f>
        <v>6966.34615384615</v>
      </c>
      <c r="E13" s="42" t="n">
        <f aca="false">E10*Assumptions!$B$22</f>
        <v>8004.80769230769</v>
      </c>
      <c r="F13" s="42" t="n">
        <f aca="false">F10*Assumptions!$B$22</f>
        <v>9043.26923076923</v>
      </c>
      <c r="G13" s="42" t="n">
        <f aca="false">G10*Assumptions!$B$22</f>
        <v>10298.0769230769</v>
      </c>
      <c r="H13" s="42" t="n">
        <f aca="false">H10*Assumptions!$B$22</f>
        <v>11336.5384615385</v>
      </c>
      <c r="I13" s="42" t="n">
        <f aca="false">I10*Assumptions!$B$22</f>
        <v>12375</v>
      </c>
      <c r="J13" s="42" t="n">
        <f aca="false">J10*Assumptions!$B$22</f>
        <v>13629.8076923077</v>
      </c>
      <c r="K13" s="42" t="n">
        <f aca="false">K10*Assumptions!$B$22</f>
        <v>14668.2692307692</v>
      </c>
      <c r="L13" s="42" t="n">
        <f aca="false">L10*Assumptions!$B$22</f>
        <v>15706.7307692308</v>
      </c>
      <c r="M13" s="42" t="n">
        <f aca="false">M10*Assumptions!$B$22</f>
        <v>16961.5384615385</v>
      </c>
      <c r="N13" s="42" t="n">
        <f aca="false">N10*Assumptions!$B$22</f>
        <v>18000</v>
      </c>
      <c r="O13" s="42" t="n">
        <f aca="false">O10*Assumptions!$B$22</f>
        <v>19254.8076923077</v>
      </c>
      <c r="P13" s="42" t="n">
        <f aca="false">P10*Assumptions!$B$22</f>
        <v>20293.2692307692</v>
      </c>
      <c r="Q13" s="42" t="n">
        <f aca="false">Q10*Assumptions!$B$22</f>
        <v>21331.7307692308</v>
      </c>
      <c r="R13" s="42" t="n">
        <f aca="false">R10*Assumptions!$B$22</f>
        <v>22586.5384615385</v>
      </c>
      <c r="S13" s="42" t="n">
        <f aca="false">S10*Assumptions!$B$22</f>
        <v>23625</v>
      </c>
      <c r="T13" s="42" t="n">
        <f aca="false">T10*Assumptions!$B$22</f>
        <v>24663.4615384615</v>
      </c>
      <c r="U13" s="42" t="n">
        <f aca="false">U10*Assumptions!$B$22</f>
        <v>25918.2692307692</v>
      </c>
      <c r="V13" s="42" t="n">
        <f aca="false">V10*Assumptions!$B$22</f>
        <v>26956.7307692308</v>
      </c>
      <c r="W13" s="42" t="n">
        <f aca="false">W10*Assumptions!$B$22</f>
        <v>27995.1923076923</v>
      </c>
      <c r="X13" s="42" t="n">
        <f aca="false">X10*Assumptions!$B$22</f>
        <v>29250</v>
      </c>
      <c r="Y13" s="42" t="n">
        <f aca="false">Y10*Assumptions!$B$22</f>
        <v>30288.4615384615</v>
      </c>
      <c r="Z13" s="43" t="n">
        <f aca="false">SUM(B13:M13)</f>
        <v>129375</v>
      </c>
      <c r="AA13" s="43" t="n">
        <f aca="false">SUM(N13:Y13)</f>
        <v>290163.461538462</v>
      </c>
      <c r="AB13" s="43" t="n">
        <f aca="false">Z13+AA13</f>
        <v>419538.461538462</v>
      </c>
    </row>
    <row r="14" customFormat="false" ht="15" hidden="false" customHeight="false" outlineLevel="0" collapsed="false">
      <c r="A14" s="44" t="s">
        <v>187</v>
      </c>
      <c r="B14" s="45" t="n">
        <f aca="false">B12+B13</f>
        <v>7365.38461538463</v>
      </c>
      <c r="C14" s="45" t="n">
        <f aca="false">C12+C13</f>
        <v>12891.0256410257</v>
      </c>
      <c r="D14" s="45" t="n">
        <f aca="false">D12+D13</f>
        <v>18633.0128205129</v>
      </c>
      <c r="E14" s="45" t="n">
        <f aca="false">E12+E13</f>
        <v>25056.0897435899</v>
      </c>
      <c r="F14" s="45" t="n">
        <f aca="false">F12+F13</f>
        <v>30581.7307692309</v>
      </c>
      <c r="G14" s="45" t="n">
        <f aca="false">G12+G13</f>
        <v>39016.0256410258</v>
      </c>
      <c r="H14" s="45" t="n">
        <f aca="false">H12+H13</f>
        <v>55310.8974358977</v>
      </c>
      <c r="I14" s="45" t="n">
        <f aca="false">I12+I13</f>
        <v>77887.820512821</v>
      </c>
      <c r="J14" s="45" t="n">
        <f aca="false">J12+J13</f>
        <v>99783.6538461544</v>
      </c>
      <c r="K14" s="45" t="n">
        <f aca="false">K12+K13</f>
        <v>126847.756410257</v>
      </c>
      <c r="L14" s="45" t="n">
        <f aca="false">L12+L13</f>
        <v>153911.85897436</v>
      </c>
      <c r="M14" s="45" t="n">
        <f aca="false">M12+M13</f>
        <v>194653.846153847</v>
      </c>
      <c r="N14" s="45" t="n">
        <f aca="false">N12+N13</f>
        <v>236974.358974361</v>
      </c>
      <c r="O14" s="45" t="n">
        <f aca="false">O12+O13</f>
        <v>275921.474358976</v>
      </c>
      <c r="P14" s="45" t="n">
        <f aca="false">P12+P13</f>
        <v>314652.243589746</v>
      </c>
      <c r="Q14" s="45" t="n">
        <f aca="false">Q12+Q13</f>
        <v>353383.012820515</v>
      </c>
      <c r="R14" s="45" t="n">
        <f aca="false">R12+R13</f>
        <v>386048.076923079</v>
      </c>
      <c r="S14" s="45" t="n">
        <f aca="false">S12+S13</f>
        <v>414009.615384618</v>
      </c>
      <c r="T14" s="45" t="n">
        <f aca="false">T12+T13</f>
        <v>430304.48717949</v>
      </c>
      <c r="U14" s="45" t="n">
        <f aca="false">U12+U13</f>
        <v>439636.217948721</v>
      </c>
      <c r="V14" s="45" t="n">
        <f aca="false">V12+V13</f>
        <v>449649.038461541</v>
      </c>
      <c r="W14" s="45" t="n">
        <f aca="false">W12+W13</f>
        <v>458764.423076926</v>
      </c>
      <c r="X14" s="45" t="n">
        <f aca="false">X12+X13</f>
        <v>468096.153846157</v>
      </c>
      <c r="Y14" s="45" t="n">
        <f aca="false">Y12+Y13</f>
        <v>470032.051282054</v>
      </c>
      <c r="Z14" s="46" t="n">
        <f aca="false">SUM(B14:M14)</f>
        <v>841939.102564108</v>
      </c>
      <c r="AA14" s="46" t="n">
        <f aca="false">SUM(N14:Y14)</f>
        <v>4697471.15384619</v>
      </c>
      <c r="AB14" s="46" t="n">
        <f aca="false">Z14+AA14</f>
        <v>5539410.25641029</v>
      </c>
    </row>
    <row r="15" customFormat="false" ht="15" hidden="false" customHeight="false" outlineLevel="0" collapsed="false">
      <c r="A15" s="39" t="s">
        <v>188</v>
      </c>
      <c r="B15" s="42" t="n">
        <f aca="false">Assumptions!$B$25</f>
        <v>48300</v>
      </c>
      <c r="C15" s="42" t="n">
        <f aca="false">Assumptions!$B$25</f>
        <v>48300</v>
      </c>
      <c r="D15" s="42" t="n">
        <f aca="false">Assumptions!$B$25</f>
        <v>48300</v>
      </c>
      <c r="E15" s="42" t="n">
        <f aca="false">Assumptions!$B$25</f>
        <v>48300</v>
      </c>
      <c r="F15" s="42" t="n">
        <f aca="false">Assumptions!$B$25</f>
        <v>48300</v>
      </c>
      <c r="G15" s="42" t="n">
        <f aca="false">Assumptions!$B$25</f>
        <v>48300</v>
      </c>
      <c r="H15" s="42" t="n">
        <f aca="false">Assumptions!$B$26</f>
        <v>50500</v>
      </c>
      <c r="I15" s="42" t="n">
        <f aca="false">Assumptions!$B$26</f>
        <v>50500</v>
      </c>
      <c r="J15" s="42" t="n">
        <f aca="false">Assumptions!$B$26</f>
        <v>50500</v>
      </c>
      <c r="K15" s="42" t="n">
        <f aca="false">Assumptions!$B$26</f>
        <v>50500</v>
      </c>
      <c r="L15" s="42" t="n">
        <f aca="false">Assumptions!$B$26</f>
        <v>50500</v>
      </c>
      <c r="M15" s="42" t="n">
        <f aca="false">Assumptions!$B$26</f>
        <v>50500</v>
      </c>
      <c r="N15" s="42" t="n">
        <f aca="false">Assumptions!$B$26</f>
        <v>50500</v>
      </c>
      <c r="O15" s="42" t="n">
        <f aca="false">Assumptions!$B$26</f>
        <v>50500</v>
      </c>
      <c r="P15" s="42" t="n">
        <f aca="false">Assumptions!$B$26</f>
        <v>50500</v>
      </c>
      <c r="Q15" s="42" t="n">
        <f aca="false">Assumptions!$B$26</f>
        <v>50500</v>
      </c>
      <c r="R15" s="42" t="n">
        <f aca="false">Assumptions!$B$26</f>
        <v>50500</v>
      </c>
      <c r="S15" s="42" t="n">
        <f aca="false">Assumptions!$B$26</f>
        <v>50500</v>
      </c>
      <c r="T15" s="42" t="n">
        <f aca="false">Assumptions!$B$26</f>
        <v>50500</v>
      </c>
      <c r="U15" s="42" t="n">
        <f aca="false">Assumptions!$B$26</f>
        <v>50500</v>
      </c>
      <c r="V15" s="42" t="n">
        <f aca="false">Assumptions!$B$26</f>
        <v>50500</v>
      </c>
      <c r="W15" s="42" t="n">
        <f aca="false">Assumptions!$B$26</f>
        <v>50500</v>
      </c>
      <c r="X15" s="42" t="n">
        <f aca="false">Assumptions!$B$26</f>
        <v>50500</v>
      </c>
      <c r="Y15" s="42" t="n">
        <f aca="false">Assumptions!$B$26</f>
        <v>50500</v>
      </c>
      <c r="Z15" s="43" t="n">
        <f aca="false">SUM(B15:M15)</f>
        <v>592800</v>
      </c>
      <c r="AA15" s="43" t="n">
        <f aca="false">SUM(N15:Y15)</f>
        <v>606000</v>
      </c>
      <c r="AB15" s="43" t="n">
        <f aca="false">Z15+AA15</f>
        <v>1198800</v>
      </c>
    </row>
    <row r="16" customFormat="false" ht="15" hidden="false" customHeight="false" outlineLevel="0" collapsed="false">
      <c r="A16" s="44" t="s">
        <v>189</v>
      </c>
      <c r="B16" s="45" t="n">
        <f aca="false">B14-B15</f>
        <v>-40934.6153846154</v>
      </c>
      <c r="C16" s="45" t="n">
        <f aca="false">C14-C15</f>
        <v>-35408.9743589743</v>
      </c>
      <c r="D16" s="45" t="n">
        <f aca="false">D14-D15</f>
        <v>-29666.9871794871</v>
      </c>
      <c r="E16" s="45" t="n">
        <f aca="false">E14-E15</f>
        <v>-23243.9102564101</v>
      </c>
      <c r="F16" s="45" t="n">
        <f aca="false">F14-F15</f>
        <v>-17718.2692307691</v>
      </c>
      <c r="G16" s="45" t="n">
        <f aca="false">G14-G15</f>
        <v>-9283.97435897416</v>
      </c>
      <c r="H16" s="45" t="n">
        <f aca="false">H14-H15</f>
        <v>4810.89743589774</v>
      </c>
      <c r="I16" s="45" t="n">
        <f aca="false">I14-I15</f>
        <v>27387.820512821</v>
      </c>
      <c r="J16" s="45" t="n">
        <f aca="false">J14-J15</f>
        <v>49283.6538461544</v>
      </c>
      <c r="K16" s="45" t="n">
        <f aca="false">K14-K15</f>
        <v>76347.7564102572</v>
      </c>
      <c r="L16" s="45" t="n">
        <f aca="false">L14-L15</f>
        <v>103411.85897436</v>
      </c>
      <c r="M16" s="45" t="n">
        <f aca="false">M14-M15</f>
        <v>144153.846153847</v>
      </c>
      <c r="N16" s="45" t="n">
        <f aca="false">N14-N15</f>
        <v>186474.358974361</v>
      </c>
      <c r="O16" s="45" t="n">
        <f aca="false">O14-O15</f>
        <v>225421.474358976</v>
      </c>
      <c r="P16" s="45" t="n">
        <f aca="false">P14-P15</f>
        <v>264152.243589746</v>
      </c>
      <c r="Q16" s="45" t="n">
        <f aca="false">Q14-Q15</f>
        <v>302883.012820515</v>
      </c>
      <c r="R16" s="45" t="n">
        <f aca="false">R14-R15</f>
        <v>335548.076923079</v>
      </c>
      <c r="S16" s="45" t="n">
        <f aca="false">S14-S15</f>
        <v>363509.615384618</v>
      </c>
      <c r="T16" s="45" t="n">
        <f aca="false">T14-T15</f>
        <v>379804.48717949</v>
      </c>
      <c r="U16" s="45" t="n">
        <f aca="false">U14-U15</f>
        <v>389136.217948721</v>
      </c>
      <c r="V16" s="45" t="n">
        <f aca="false">V14-V15</f>
        <v>399149.038461541</v>
      </c>
      <c r="W16" s="45" t="n">
        <f aca="false">W14-W15</f>
        <v>408264.423076926</v>
      </c>
      <c r="X16" s="45" t="n">
        <f aca="false">X14-X15</f>
        <v>417596.153846157</v>
      </c>
      <c r="Y16" s="45" t="n">
        <f aca="false">Y14-Y15</f>
        <v>419532.051282054</v>
      </c>
      <c r="Z16" s="46" t="n">
        <f aca="false">SUM(B16:M16)</f>
        <v>249139.102564108</v>
      </c>
      <c r="AA16" s="46" t="n">
        <f aca="false">SUM(N16:Y16)</f>
        <v>4091471.15384618</v>
      </c>
      <c r="AB16" s="46" t="n">
        <f aca="false">Z16+AA16</f>
        <v>4340610.25641029</v>
      </c>
    </row>
    <row r="17" customFormat="false" ht="15" hidden="false" customHeight="false" outlineLevel="0" collapsed="false">
      <c r="A17" s="44" t="s">
        <v>190</v>
      </c>
      <c r="B17" s="45" t="n">
        <f aca="false">B16</f>
        <v>-40934.6153846154</v>
      </c>
      <c r="C17" s="45" t="n">
        <f aca="false">B17+C16</f>
        <v>-76343.5897435897</v>
      </c>
      <c r="D17" s="45" t="n">
        <f aca="false">C17+D16</f>
        <v>-106010.576923077</v>
      </c>
      <c r="E17" s="45" t="n">
        <f aca="false">D17+E16</f>
        <v>-129254.487179487</v>
      </c>
      <c r="F17" s="45" t="n">
        <f aca="false">E17+F16</f>
        <v>-146972.756410256</v>
      </c>
      <c r="G17" s="45" t="n">
        <f aca="false">F17+G16</f>
        <v>-156256.73076923</v>
      </c>
      <c r="H17" s="45" t="n">
        <f aca="false">G17+H16</f>
        <v>-151445.833333332</v>
      </c>
      <c r="I17" s="45" t="n">
        <f aca="false">H17+I16</f>
        <v>-124058.012820511</v>
      </c>
      <c r="J17" s="45" t="n">
        <f aca="false">I17+J16</f>
        <v>-74774.358974357</v>
      </c>
      <c r="K17" s="45" t="n">
        <f aca="false">J17+K16</f>
        <v>1573.39743590017</v>
      </c>
      <c r="L17" s="45" t="n">
        <f aca="false">K17+L16</f>
        <v>104985.25641026</v>
      </c>
      <c r="M17" s="45" t="n">
        <f aca="false">L17+M16</f>
        <v>249139.102564108</v>
      </c>
      <c r="N17" s="45" t="n">
        <f aca="false">M17+N16</f>
        <v>435613.461538468</v>
      </c>
      <c r="O17" s="45" t="n">
        <f aca="false">N17+O16</f>
        <v>661034.935897444</v>
      </c>
      <c r="P17" s="45" t="n">
        <f aca="false">O17+P16</f>
        <v>925187.17948719</v>
      </c>
      <c r="Q17" s="45" t="n">
        <f aca="false">P17+Q16</f>
        <v>1228070.1923077</v>
      </c>
      <c r="R17" s="45" t="n">
        <f aca="false">Q17+R16</f>
        <v>1563618.26923078</v>
      </c>
      <c r="S17" s="45" t="n">
        <f aca="false">R17+S16</f>
        <v>1927127.8846154</v>
      </c>
      <c r="T17" s="45" t="n">
        <f aca="false">S17+T16</f>
        <v>2306932.37179489</v>
      </c>
      <c r="U17" s="45" t="n">
        <f aca="false">T17+U16</f>
        <v>2696068.58974361</v>
      </c>
      <c r="V17" s="45" t="n">
        <f aca="false">U17+V16</f>
        <v>3095217.62820516</v>
      </c>
      <c r="W17" s="45" t="n">
        <f aca="false">V17+W16</f>
        <v>3503482.05128208</v>
      </c>
      <c r="X17" s="45" t="n">
        <f aca="false">W17+X16</f>
        <v>3921078.20512824</v>
      </c>
      <c r="Y17" s="45" t="n">
        <f aca="false">X17+Y16</f>
        <v>4340610.25641029</v>
      </c>
      <c r="AB17" s="46" t="n">
        <f aca="false">Y17</f>
        <v>4340610.25641029</v>
      </c>
    </row>
    <row r="19" customFormat="false" ht="15" hidden="false" customHeight="false" outlineLevel="0" collapsed="false">
      <c r="A19" s="47" t="s">
        <v>191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</cols>
  <sheetData>
    <row r="1" customFormat="false" ht="15" hidden="false" customHeight="false" outlineLevel="0" collapsed="false">
      <c r="A1" s="36" t="s">
        <v>192</v>
      </c>
    </row>
    <row r="3" customFormat="false" ht="15" hidden="false" customHeight="false" outlineLevel="0" collapsed="false">
      <c r="A3" s="37" t="s">
        <v>193</v>
      </c>
      <c r="B3" s="38" t="s">
        <v>194</v>
      </c>
    </row>
    <row r="4" customFormat="false" ht="15" hidden="false" customHeight="false" outlineLevel="0" collapsed="false">
      <c r="A4" s="39" t="s">
        <v>182</v>
      </c>
      <c r="B4" s="48" t="n">
        <f aca="false">'Monthly P&amp;L'!AB9</f>
        <v>9599759.61538462</v>
      </c>
    </row>
    <row r="5" customFormat="false" ht="15" hidden="false" customHeight="false" outlineLevel="0" collapsed="false">
      <c r="A5" s="39" t="s">
        <v>183</v>
      </c>
      <c r="B5" s="48" t="n">
        <f aca="false">'Monthly P&amp;L'!AB10</f>
        <v>932307.692307692</v>
      </c>
    </row>
    <row r="6" customFormat="false" ht="15" hidden="false" customHeight="false" outlineLevel="0" collapsed="false">
      <c r="A6" s="44" t="s">
        <v>184</v>
      </c>
      <c r="B6" s="49" t="n">
        <f aca="false">'Monthly P&amp;L'!AB11</f>
        <v>10532067.3076923</v>
      </c>
    </row>
    <row r="7" customFormat="false" ht="15" hidden="false" customHeight="false" outlineLevel="0" collapsed="false">
      <c r="A7" s="39" t="s">
        <v>195</v>
      </c>
      <c r="B7" s="48" t="n">
        <f aca="false">-('Monthly P&amp;L'!AB9-'Monthly P&amp;L'!AB12)</f>
        <v>-4479887.82051279</v>
      </c>
    </row>
    <row r="8" customFormat="false" ht="15" hidden="false" customHeight="false" outlineLevel="0" collapsed="false">
      <c r="A8" s="39" t="s">
        <v>196</v>
      </c>
      <c r="B8" s="48" t="n">
        <f aca="false">-('Monthly P&amp;L'!AB10-'Monthly P&amp;L'!AB13)</f>
        <v>-512769.230769231</v>
      </c>
    </row>
    <row r="9" customFormat="false" ht="15" hidden="false" customHeight="false" outlineLevel="0" collapsed="false">
      <c r="A9" s="44" t="s">
        <v>187</v>
      </c>
      <c r="B9" s="49" t="n">
        <f aca="false">'Monthly P&amp;L'!AB14</f>
        <v>5539410.25641029</v>
      </c>
    </row>
    <row r="10" customFormat="false" ht="15" hidden="false" customHeight="false" outlineLevel="0" collapsed="false">
      <c r="A10" s="39" t="s">
        <v>197</v>
      </c>
      <c r="B10" s="48" t="n">
        <f aca="false">-'Monthly P&amp;L'!AB15</f>
        <v>-1198800</v>
      </c>
    </row>
    <row r="11" customFormat="false" ht="15" hidden="false" customHeight="false" outlineLevel="0" collapsed="false">
      <c r="A11" s="44" t="s">
        <v>198</v>
      </c>
      <c r="B11" s="49" t="n">
        <f aca="false">'Monthly P&amp;L'!AB16</f>
        <v>4340610.25641029</v>
      </c>
    </row>
    <row r="13" customFormat="false" ht="15" hidden="false" customHeight="false" outlineLevel="0" collapsed="false">
      <c r="A13" s="50" t="s">
        <v>199</v>
      </c>
    </row>
    <row r="14" customFormat="false" ht="15" hidden="false" customHeight="false" outlineLevel="0" collapsed="false">
      <c r="A14" s="39" t="s">
        <v>10</v>
      </c>
      <c r="B14" s="49" t="n">
        <f aca="false">'Monthly P&amp;L'!Z11</f>
        <v>1623557.69230769</v>
      </c>
    </row>
    <row r="15" customFormat="false" ht="15" hidden="false" customHeight="false" outlineLevel="0" collapsed="false">
      <c r="A15" s="39" t="s">
        <v>200</v>
      </c>
      <c r="B15" s="49" t="n">
        <f aca="false">'Monthly P&amp;L'!AA11-'Monthly P&amp;L'!Z11</f>
        <v>7284951.92307692</v>
      </c>
    </row>
    <row r="16" customFormat="false" ht="15" hidden="false" customHeight="false" outlineLevel="0" collapsed="false">
      <c r="A16" s="39" t="s">
        <v>12</v>
      </c>
      <c r="B16" s="49" t="n">
        <f aca="false">'Monthly P&amp;L'!AA11</f>
        <v>8908509.61538462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4"/>
  </cols>
  <sheetData>
    <row r="1" customFormat="false" ht="15" hidden="false" customHeight="false" outlineLevel="0" collapsed="false">
      <c r="A1" s="36" t="s">
        <v>201</v>
      </c>
    </row>
    <row r="2" customFormat="false" ht="15" hidden="false" customHeight="false" outlineLevel="0" collapsed="false">
      <c r="A2" s="2" t="s">
        <v>202</v>
      </c>
    </row>
    <row r="4" customFormat="false" ht="15" hidden="false" customHeight="false" outlineLevel="0" collapsed="false">
      <c r="A4" s="37" t="s">
        <v>203</v>
      </c>
      <c r="B4" s="38" t="s">
        <v>204</v>
      </c>
      <c r="C4" s="38" t="s">
        <v>205</v>
      </c>
      <c r="D4" s="38" t="s">
        <v>206</v>
      </c>
    </row>
    <row r="5" customFormat="false" ht="15" hidden="false" customHeight="false" outlineLevel="0" collapsed="false">
      <c r="A5" s="4" t="s">
        <v>207</v>
      </c>
      <c r="B5" s="51" t="n">
        <v>0.7</v>
      </c>
      <c r="C5" s="51" t="n">
        <v>1</v>
      </c>
      <c r="D5" s="51" t="n">
        <v>1.684</v>
      </c>
    </row>
    <row r="6" customFormat="false" ht="15" hidden="false" customHeight="false" outlineLevel="0" collapsed="false">
      <c r="A6" s="4" t="s">
        <v>72</v>
      </c>
      <c r="B6" s="16" t="n">
        <v>0.3</v>
      </c>
      <c r="C6" s="16" t="n">
        <v>0.32</v>
      </c>
      <c r="D6" s="16" t="n">
        <v>0.38</v>
      </c>
    </row>
    <row r="7" customFormat="false" ht="15" hidden="false" customHeight="false" outlineLevel="0" collapsed="false">
      <c r="A7" s="4" t="s">
        <v>208</v>
      </c>
      <c r="B7" s="52" t="n">
        <f aca="false">'Monthly P&amp;L'!AB15</f>
        <v>1198800</v>
      </c>
      <c r="C7" s="52" t="n">
        <f aca="false">'Monthly P&amp;L'!AB15</f>
        <v>1198800</v>
      </c>
      <c r="D7" s="53" t="n">
        <v>1500000</v>
      </c>
    </row>
    <row r="9" customFormat="false" ht="15" hidden="false" customHeight="false" outlineLevel="0" collapsed="false">
      <c r="A9" s="4" t="s">
        <v>182</v>
      </c>
      <c r="B9" s="42" t="n">
        <f aca="false">'Monthly P&amp;L'!AB9*B5</f>
        <v>6719831.73076923</v>
      </c>
      <c r="C9" s="42" t="n">
        <f aca="false">'Monthly P&amp;L'!AB9*C5</f>
        <v>9599759.61538462</v>
      </c>
      <c r="D9" s="42" t="n">
        <f aca="false">'Monthly P&amp;L'!AB9*D5</f>
        <v>16165995.1923077</v>
      </c>
    </row>
    <row r="10" customFormat="false" ht="15" hidden="false" customHeight="false" outlineLevel="0" collapsed="false">
      <c r="A10" s="4" t="s">
        <v>183</v>
      </c>
      <c r="B10" s="42" t="n">
        <f aca="false">'Monthly P&amp;L'!AB10*B5</f>
        <v>652615.384615385</v>
      </c>
      <c r="C10" s="42" t="n">
        <f aca="false">'Monthly P&amp;L'!AB10*C5</f>
        <v>932307.692307692</v>
      </c>
      <c r="D10" s="42" t="n">
        <f aca="false">'Monthly P&amp;L'!AB10*D5</f>
        <v>1570006.15384615</v>
      </c>
    </row>
    <row r="11" customFormat="false" ht="15" hidden="false" customHeight="false" outlineLevel="0" collapsed="false">
      <c r="A11" s="7" t="s">
        <v>184</v>
      </c>
      <c r="B11" s="45" t="n">
        <f aca="false">B9+B10</f>
        <v>7372447.11538462</v>
      </c>
      <c r="C11" s="45" t="n">
        <f aca="false">C9+C10</f>
        <v>10532067.3076923</v>
      </c>
      <c r="D11" s="45" t="n">
        <f aca="false">D9+D10</f>
        <v>17736001.3461538</v>
      </c>
    </row>
    <row r="12" customFormat="false" ht="15" hidden="false" customHeight="false" outlineLevel="0" collapsed="false">
      <c r="A12" s="4" t="s">
        <v>187</v>
      </c>
      <c r="B12" s="42" t="n">
        <f aca="false">B9*B6+B10*Assumptions!$B$22</f>
        <v>2309626.44230769</v>
      </c>
      <c r="C12" s="42" t="n">
        <f aca="false">C9*C6+C10*Assumptions!$B$22</f>
        <v>3491461.53846154</v>
      </c>
      <c r="D12" s="42" t="n">
        <f aca="false">D9*D6+D10*Assumptions!$B$22</f>
        <v>6849580.94230769</v>
      </c>
    </row>
    <row r="13" customFormat="false" ht="15" hidden="false" customHeight="false" outlineLevel="0" collapsed="false">
      <c r="A13" s="7" t="s">
        <v>189</v>
      </c>
      <c r="B13" s="45" t="n">
        <f aca="false">B12-B7</f>
        <v>1110826.44230769</v>
      </c>
      <c r="C13" s="45" t="n">
        <f aca="false">C12-C7</f>
        <v>2292661.53846154</v>
      </c>
      <c r="D13" s="45" t="n">
        <f aca="false">D12-D7</f>
        <v>5349580.94230769</v>
      </c>
    </row>
    <row r="14" customFormat="false" ht="15" hidden="false" customHeight="false" outlineLevel="0" collapsed="false">
      <c r="A14" s="4" t="s">
        <v>209</v>
      </c>
      <c r="B14" s="54" t="n">
        <f aca="false">B13/B11</f>
        <v>0.150672690481516</v>
      </c>
      <c r="C14" s="54" t="n">
        <f aca="false">C13/C11</f>
        <v>0.217683904924064</v>
      </c>
      <c r="D14" s="54" t="n">
        <f aca="false">D13/D11</f>
        <v>0.30162271855419</v>
      </c>
    </row>
    <row r="16" customFormat="false" ht="15" hidden="false" customHeight="false" outlineLevel="0" collapsed="false">
      <c r="A16" s="47" t="s">
        <v>210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5" min="2" style="0" width="10"/>
  </cols>
  <sheetData>
    <row r="1" customFormat="false" ht="15" hidden="false" customHeight="false" outlineLevel="0" collapsed="false">
      <c r="A1" s="36" t="s">
        <v>211</v>
      </c>
    </row>
    <row r="2" customFormat="false" ht="15" hidden="false" customHeight="false" outlineLevel="0" collapsed="false">
      <c r="A2" s="2" t="s">
        <v>212</v>
      </c>
    </row>
    <row r="3" customFormat="false" ht="15" hidden="false" customHeight="false" outlineLevel="0" collapsed="false">
      <c r="A3" s="37" t="s">
        <v>213</v>
      </c>
      <c r="B3" s="38" t="s">
        <v>151</v>
      </c>
      <c r="C3" s="38" t="s">
        <v>152</v>
      </c>
      <c r="D3" s="38" t="s">
        <v>153</v>
      </c>
      <c r="E3" s="38" t="s">
        <v>154</v>
      </c>
      <c r="F3" s="38" t="s">
        <v>155</v>
      </c>
      <c r="G3" s="38" t="s">
        <v>156</v>
      </c>
      <c r="H3" s="38" t="s">
        <v>157</v>
      </c>
      <c r="I3" s="38" t="s">
        <v>158</v>
      </c>
      <c r="J3" s="38" t="s">
        <v>159</v>
      </c>
      <c r="K3" s="38" t="s">
        <v>160</v>
      </c>
      <c r="L3" s="38" t="s">
        <v>161</v>
      </c>
      <c r="M3" s="38" t="s">
        <v>162</v>
      </c>
      <c r="N3" s="38" t="s">
        <v>163</v>
      </c>
      <c r="O3" s="38" t="s">
        <v>164</v>
      </c>
      <c r="P3" s="38" t="s">
        <v>165</v>
      </c>
      <c r="Q3" s="38" t="s">
        <v>166</v>
      </c>
      <c r="R3" s="38" t="s">
        <v>167</v>
      </c>
      <c r="S3" s="38" t="s">
        <v>168</v>
      </c>
      <c r="T3" s="38" t="s">
        <v>169</v>
      </c>
      <c r="U3" s="38" t="s">
        <v>170</v>
      </c>
      <c r="V3" s="38" t="s">
        <v>171</v>
      </c>
      <c r="W3" s="38" t="s">
        <v>172</v>
      </c>
      <c r="X3" s="38" t="s">
        <v>173</v>
      </c>
      <c r="Y3" s="38" t="s">
        <v>174</v>
      </c>
    </row>
    <row r="4" customFormat="false" ht="15" hidden="false" customHeight="false" outlineLevel="0" collapsed="false">
      <c r="A4" s="39" t="s">
        <v>214</v>
      </c>
      <c r="B4" s="48" t="n">
        <f aca="false">'Monthly P&amp;L'!B16</f>
        <v>-40934.6153846154</v>
      </c>
      <c r="C4" s="48" t="n">
        <f aca="false">'Monthly P&amp;L'!C16</f>
        <v>-35408.9743589743</v>
      </c>
      <c r="D4" s="48" t="n">
        <f aca="false">'Monthly P&amp;L'!D16</f>
        <v>-29666.9871794871</v>
      </c>
      <c r="E4" s="48" t="n">
        <f aca="false">'Monthly P&amp;L'!E16</f>
        <v>-23243.9102564101</v>
      </c>
      <c r="F4" s="48" t="n">
        <f aca="false">'Monthly P&amp;L'!F16</f>
        <v>-17718.2692307691</v>
      </c>
      <c r="G4" s="48" t="n">
        <f aca="false">'Monthly P&amp;L'!G16</f>
        <v>-9283.97435897416</v>
      </c>
      <c r="H4" s="48" t="n">
        <f aca="false">'Monthly P&amp;L'!H16</f>
        <v>4810.89743589774</v>
      </c>
      <c r="I4" s="48" t="n">
        <f aca="false">'Monthly P&amp;L'!I16</f>
        <v>27387.820512821</v>
      </c>
      <c r="J4" s="48" t="n">
        <f aca="false">'Monthly P&amp;L'!J16</f>
        <v>49283.6538461544</v>
      </c>
      <c r="K4" s="48" t="n">
        <f aca="false">'Monthly P&amp;L'!K16</f>
        <v>76347.7564102572</v>
      </c>
      <c r="L4" s="48" t="n">
        <f aca="false">'Monthly P&amp;L'!L16</f>
        <v>103411.85897436</v>
      </c>
      <c r="M4" s="48" t="n">
        <f aca="false">'Monthly P&amp;L'!M16</f>
        <v>144153.846153847</v>
      </c>
      <c r="N4" s="48" t="n">
        <f aca="false">'Monthly P&amp;L'!N16</f>
        <v>186474.358974361</v>
      </c>
      <c r="O4" s="48" t="n">
        <f aca="false">'Monthly P&amp;L'!O16</f>
        <v>225421.474358976</v>
      </c>
      <c r="P4" s="48" t="n">
        <f aca="false">'Monthly P&amp;L'!P16</f>
        <v>264152.243589746</v>
      </c>
      <c r="Q4" s="48" t="n">
        <f aca="false">'Monthly P&amp;L'!Q16</f>
        <v>302883.012820515</v>
      </c>
      <c r="R4" s="48" t="n">
        <f aca="false">'Monthly P&amp;L'!R16</f>
        <v>335548.076923079</v>
      </c>
      <c r="S4" s="48" t="n">
        <f aca="false">'Monthly P&amp;L'!S16</f>
        <v>363509.615384618</v>
      </c>
      <c r="T4" s="48" t="n">
        <f aca="false">'Monthly P&amp;L'!T16</f>
        <v>379804.48717949</v>
      </c>
      <c r="U4" s="48" t="n">
        <f aca="false">'Monthly P&amp;L'!U16</f>
        <v>389136.217948721</v>
      </c>
      <c r="V4" s="48" t="n">
        <f aca="false">'Monthly P&amp;L'!V16</f>
        <v>399149.038461541</v>
      </c>
      <c r="W4" s="48" t="n">
        <f aca="false">'Monthly P&amp;L'!W16</f>
        <v>408264.423076926</v>
      </c>
      <c r="X4" s="48" t="n">
        <f aca="false">'Monthly P&amp;L'!X16</f>
        <v>417596.153846157</v>
      </c>
      <c r="Y4" s="48" t="n">
        <f aca="false">'Monthly P&amp;L'!Y16</f>
        <v>419532.051282054</v>
      </c>
    </row>
    <row r="5" customFormat="false" ht="15" hidden="false" customHeight="false" outlineLevel="0" collapsed="false">
      <c r="A5" s="44" t="s">
        <v>215</v>
      </c>
      <c r="B5" s="45" t="n">
        <f aca="false">Assumptions!$B$5+B4</f>
        <v>959065.384615385</v>
      </c>
      <c r="C5" s="45" t="n">
        <f aca="false">B5+C4</f>
        <v>923656.41025641</v>
      </c>
      <c r="D5" s="45" t="n">
        <f aca="false">C5+D4</f>
        <v>893989.423076923</v>
      </c>
      <c r="E5" s="45" t="n">
        <f aca="false">D5+E4</f>
        <v>870745.512820513</v>
      </c>
      <c r="F5" s="45" t="n">
        <f aca="false">E5+F4</f>
        <v>853027.243589744</v>
      </c>
      <c r="G5" s="45" t="n">
        <f aca="false">F5+G4</f>
        <v>843743.26923077</v>
      </c>
      <c r="H5" s="45" t="n">
        <f aca="false">G5+H4</f>
        <v>848554.166666668</v>
      </c>
      <c r="I5" s="45" t="n">
        <f aca="false">H5+I4</f>
        <v>875941.987179489</v>
      </c>
      <c r="J5" s="45" t="n">
        <f aca="false">I5+J4</f>
        <v>925225.641025643</v>
      </c>
      <c r="K5" s="45" t="n">
        <f aca="false">J5+K4</f>
        <v>1001573.3974359</v>
      </c>
      <c r="L5" s="45" t="n">
        <f aca="false">K5+L4</f>
        <v>1104985.25641026</v>
      </c>
      <c r="M5" s="45" t="n">
        <f aca="false">L5+M4</f>
        <v>1249139.10256411</v>
      </c>
      <c r="N5" s="45" t="n">
        <f aca="false">M5+N4</f>
        <v>1435613.46153847</v>
      </c>
      <c r="O5" s="45" t="n">
        <f aca="false">N5+O4</f>
        <v>1661034.93589744</v>
      </c>
      <c r="P5" s="45" t="n">
        <f aca="false">O5+P4</f>
        <v>1925187.17948719</v>
      </c>
      <c r="Q5" s="45" t="n">
        <f aca="false">P5+Q4</f>
        <v>2228070.19230771</v>
      </c>
      <c r="R5" s="45" t="n">
        <f aca="false">Q5+R4</f>
        <v>2563618.26923078</v>
      </c>
      <c r="S5" s="45" t="n">
        <f aca="false">R5+S4</f>
        <v>2927127.8846154</v>
      </c>
      <c r="T5" s="45" t="n">
        <f aca="false">S5+T4</f>
        <v>3306932.37179489</v>
      </c>
      <c r="U5" s="45" t="n">
        <f aca="false">T5+U4</f>
        <v>3696068.58974361</v>
      </c>
      <c r="V5" s="45" t="n">
        <f aca="false">U5+V4</f>
        <v>4095217.62820516</v>
      </c>
      <c r="W5" s="45" t="n">
        <f aca="false">V5+W4</f>
        <v>4503482.05128208</v>
      </c>
      <c r="X5" s="45" t="n">
        <f aca="false">W5+X4</f>
        <v>4921078.20512824</v>
      </c>
      <c r="Y5" s="45" t="n">
        <f aca="false">X5+Y4</f>
        <v>5340610.25641029</v>
      </c>
    </row>
    <row r="7" customFormat="false" ht="15" hidden="false" customHeight="false" outlineLevel="0" collapsed="false">
      <c r="A7" s="55" t="s">
        <v>216</v>
      </c>
      <c r="B7" s="56" t="n">
        <f aca="false">MIN(B5:Y5)</f>
        <v>843743.26923077</v>
      </c>
    </row>
    <row r="8" customFormat="false" ht="15" hidden="false" customHeight="false" outlineLevel="0" collapsed="false">
      <c r="A8" s="47" t="s">
        <v>217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3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36" t="s">
        <v>218</v>
      </c>
    </row>
    <row r="3" customFormat="false" ht="15" hidden="false" customHeight="false" outlineLevel="0" collapsed="false">
      <c r="A3" s="37" t="s">
        <v>219</v>
      </c>
      <c r="B3" s="38" t="s">
        <v>220</v>
      </c>
      <c r="C3" s="38" t="s">
        <v>221</v>
      </c>
    </row>
    <row r="4" customFormat="false" ht="15" hidden="false" customHeight="false" outlineLevel="0" collapsed="false">
      <c r="A4" s="39" t="s">
        <v>222</v>
      </c>
      <c r="B4" s="16" t="n">
        <v>0.4</v>
      </c>
      <c r="C4" s="57" t="n">
        <f aca="false">B4*Assumptions!$B$5</f>
        <v>400000</v>
      </c>
    </row>
    <row r="5" customFormat="false" ht="15" hidden="false" customHeight="false" outlineLevel="0" collapsed="false">
      <c r="A5" s="39" t="s">
        <v>223</v>
      </c>
      <c r="B5" s="16" t="n">
        <v>0.45</v>
      </c>
      <c r="C5" s="57" t="n">
        <f aca="false">B5*Assumptions!$B$5</f>
        <v>450000</v>
      </c>
    </row>
    <row r="6" customFormat="false" ht="15" hidden="false" customHeight="false" outlineLevel="0" collapsed="false">
      <c r="A6" s="39" t="s">
        <v>224</v>
      </c>
      <c r="B6" s="16" t="n">
        <v>0.05</v>
      </c>
      <c r="C6" s="57" t="n">
        <f aca="false">B6*Assumptions!$B$5</f>
        <v>50000</v>
      </c>
    </row>
    <row r="7" customFormat="false" ht="15" hidden="false" customHeight="false" outlineLevel="0" collapsed="false">
      <c r="A7" s="39" t="s">
        <v>225</v>
      </c>
      <c r="B7" s="16" t="n">
        <v>0.05</v>
      </c>
      <c r="C7" s="57" t="n">
        <f aca="false">B7*Assumptions!$B$5</f>
        <v>50000</v>
      </c>
    </row>
    <row r="8" customFormat="false" ht="15" hidden="false" customHeight="false" outlineLevel="0" collapsed="false">
      <c r="A8" s="39" t="s">
        <v>226</v>
      </c>
      <c r="B8" s="16" t="n">
        <v>0.05</v>
      </c>
      <c r="C8" s="57" t="n">
        <f aca="false">B8*Assumptions!$B$5</f>
        <v>50000</v>
      </c>
    </row>
    <row r="9" customFormat="false" ht="15" hidden="false" customHeight="false" outlineLevel="0" collapsed="false">
      <c r="A9" s="58" t="s">
        <v>227</v>
      </c>
      <c r="B9" s="59" t="n">
        <f aca="false">SUM(B4:B8)</f>
        <v>1</v>
      </c>
      <c r="C9" s="60" t="n">
        <f aca="false">SUM(C4:C8)</f>
        <v>1000000</v>
      </c>
    </row>
    <row r="11" customFormat="false" ht="15" hidden="false" customHeight="false" outlineLevel="0" collapsed="false">
      <c r="A11" s="50" t="s">
        <v>228</v>
      </c>
    </row>
    <row r="12" customFormat="false" ht="15" hidden="false" customHeight="false" outlineLevel="0" collapsed="false">
      <c r="A12" s="61" t="s">
        <v>229</v>
      </c>
    </row>
    <row r="13" customFormat="false" ht="15" hidden="false" customHeight="false" outlineLevel="0" collapsed="false">
      <c r="A13" s="61" t="s">
        <v>230</v>
      </c>
    </row>
    <row r="14" customFormat="false" ht="15" hidden="false" customHeight="false" outlineLevel="0" collapsed="false">
      <c r="A14" s="61" t="s">
        <v>231</v>
      </c>
    </row>
    <row r="15" customFormat="false" ht="15" hidden="false" customHeight="false" outlineLevel="0" collapsed="false">
      <c r="A15" s="61" t="s">
        <v>232</v>
      </c>
    </row>
    <row r="16" customFormat="false" ht="15" hidden="false" customHeight="false" outlineLevel="0" collapsed="false">
      <c r="A16" s="61" t="s">
        <v>233</v>
      </c>
    </row>
    <row r="18" customFormat="false" ht="15" hidden="false" customHeight="false" outlineLevel="0" collapsed="false">
      <c r="A18" s="10" t="s">
        <v>234</v>
      </c>
      <c r="B18" s="11"/>
      <c r="C18" s="12"/>
    </row>
    <row r="19" customFormat="false" ht="15" hidden="false" customHeight="false" outlineLevel="0" collapsed="false">
      <c r="A19" s="22" t="s">
        <v>235</v>
      </c>
      <c r="B19" s="30" t="n">
        <f aca="false">SUM('Operating Drivers'!$B$13:$Y$13)</f>
        <v>5705000</v>
      </c>
      <c r="C19" s="22" t="s">
        <v>236</v>
      </c>
    </row>
    <row r="20" customFormat="false" ht="15" hidden="false" customHeight="false" outlineLevel="0" collapsed="false">
      <c r="A20" s="22" t="s">
        <v>235</v>
      </c>
      <c r="B20" s="62" t="n">
        <f aca="false">B19/Assumptions!$B$10</f>
        <v>1097115.38461538</v>
      </c>
      <c r="C20" s="22" t="s">
        <v>237</v>
      </c>
    </row>
    <row r="21" customFormat="false" ht="15" hidden="false" customHeight="true" outlineLevel="0" collapsed="false">
      <c r="A21" s="22" t="s">
        <v>238</v>
      </c>
      <c r="B21" s="22" t="s">
        <v>239</v>
      </c>
      <c r="C21" s="22" t="s">
        <v>239</v>
      </c>
    </row>
  </sheetData>
  <mergeCells count="1">
    <mergeCell ref="B21:C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8"/>
    <col collapsed="false" customWidth="true" hidden="false" outlineLevel="0" max="3" min="3" style="0" width="12"/>
    <col collapsed="false" customWidth="true" hidden="false" outlineLevel="0" max="4" min="4" style="0" width="42"/>
  </cols>
  <sheetData>
    <row r="1" customFormat="false" ht="15" hidden="false" customHeight="false" outlineLevel="0" collapsed="false">
      <c r="A1" s="36" t="s">
        <v>240</v>
      </c>
    </row>
    <row r="3" customFormat="false" ht="15" hidden="false" customHeight="false" outlineLevel="0" collapsed="false">
      <c r="A3" s="37" t="s">
        <v>241</v>
      </c>
      <c r="B3" s="38" t="s">
        <v>242</v>
      </c>
      <c r="C3" s="38" t="s">
        <v>243</v>
      </c>
      <c r="D3" s="37" t="s">
        <v>244</v>
      </c>
    </row>
    <row r="4" customFormat="false" ht="15" hidden="false" customHeight="false" outlineLevel="0" collapsed="false">
      <c r="A4" s="63" t="s">
        <v>245</v>
      </c>
      <c r="B4" s="64" t="n">
        <v>2</v>
      </c>
      <c r="C4" s="64" t="n">
        <v>3</v>
      </c>
      <c r="D4" s="65" t="s">
        <v>246</v>
      </c>
    </row>
    <row r="5" customFormat="false" ht="15" hidden="false" customHeight="false" outlineLevel="0" collapsed="false">
      <c r="A5" s="63" t="s">
        <v>247</v>
      </c>
      <c r="B5" s="64" t="n">
        <v>8</v>
      </c>
      <c r="C5" s="64" t="n">
        <v>32</v>
      </c>
      <c r="D5" s="65" t="s">
        <v>248</v>
      </c>
    </row>
    <row r="6" customFormat="false" ht="15" hidden="false" customHeight="false" outlineLevel="0" collapsed="false">
      <c r="A6" s="63" t="s">
        <v>249</v>
      </c>
      <c r="B6" s="64" t="n">
        <v>10</v>
      </c>
      <c r="C6" s="64" t="n">
        <v>49</v>
      </c>
      <c r="D6" s="65" t="s">
        <v>250</v>
      </c>
    </row>
    <row r="7" customFormat="false" ht="15" hidden="false" customHeight="false" outlineLevel="0" collapsed="false">
      <c r="A7" s="63" t="s">
        <v>251</v>
      </c>
      <c r="B7" s="64" t="n">
        <v>20</v>
      </c>
      <c r="C7" s="64" t="n">
        <v>198</v>
      </c>
      <c r="D7" s="65" t="s">
        <v>252</v>
      </c>
    </row>
    <row r="8" customFormat="false" ht="15" hidden="false" customHeight="false" outlineLevel="0" collapsed="false">
      <c r="A8" s="63" t="s">
        <v>253</v>
      </c>
      <c r="B8" s="64" t="n">
        <v>28</v>
      </c>
      <c r="C8" s="64" t="n">
        <v>370</v>
      </c>
      <c r="D8" s="65" t="s">
        <v>254</v>
      </c>
    </row>
    <row r="9" customFormat="false" ht="15" hidden="false" customHeight="false" outlineLevel="0" collapsed="false">
      <c r="A9" s="63" t="s">
        <v>255</v>
      </c>
      <c r="B9" s="64" t="n">
        <v>31</v>
      </c>
      <c r="C9" s="64" t="n">
        <v>435</v>
      </c>
      <c r="D9" s="65" t="s">
        <v>256</v>
      </c>
    </row>
    <row r="10" customFormat="false" ht="15" hidden="false" customHeight="false" outlineLevel="0" collapsed="false">
      <c r="A10" s="63" t="s">
        <v>257</v>
      </c>
      <c r="B10" s="64" t="n">
        <v>32</v>
      </c>
      <c r="C10" s="64" t="n">
        <v>490</v>
      </c>
      <c r="D10" s="65" t="s">
        <v>258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42"/>
  </cols>
  <sheetData>
    <row r="1" customFormat="false" ht="30" hidden="false" customHeight="true" outlineLevel="0" collapsed="false">
      <c r="A1" s="66" t="s">
        <v>259</v>
      </c>
      <c r="B1" s="66" t="s">
        <v>259</v>
      </c>
      <c r="C1" s="66" t="s">
        <v>259</v>
      </c>
      <c r="D1" s="66" t="s">
        <v>259</v>
      </c>
    </row>
    <row r="2" customFormat="false" ht="15" hidden="false" customHeight="true" outlineLevel="0" collapsed="false">
      <c r="A2" s="67" t="s">
        <v>260</v>
      </c>
      <c r="B2" s="67"/>
      <c r="C2" s="67"/>
      <c r="D2" s="67"/>
    </row>
    <row r="3" customFormat="false" ht="15" hidden="false" customHeight="false" outlineLevel="0" collapsed="false">
      <c r="A3" s="68" t="s">
        <v>261</v>
      </c>
      <c r="B3" s="69" t="s">
        <v>262</v>
      </c>
      <c r="C3" s="69" t="s">
        <v>263</v>
      </c>
      <c r="D3" s="70" t="s">
        <v>264</v>
      </c>
    </row>
    <row r="4" customFormat="false" ht="15" hidden="false" customHeight="false" outlineLevel="0" collapsed="false">
      <c r="A4" s="71" t="s">
        <v>265</v>
      </c>
      <c r="B4" s="72"/>
      <c r="C4" s="73"/>
      <c r="D4" s="71" t="s">
        <v>266</v>
      </c>
    </row>
    <row r="5" customFormat="false" ht="15" hidden="false" customHeight="false" outlineLevel="0" collapsed="false">
      <c r="A5" s="74" t="s">
        <v>267</v>
      </c>
      <c r="B5" s="75"/>
      <c r="C5" s="76"/>
      <c r="D5" s="74" t="s">
        <v>266</v>
      </c>
    </row>
    <row r="6" customFormat="false" ht="15" hidden="false" customHeight="false" outlineLevel="0" collapsed="false">
      <c r="A6" s="74" t="s">
        <v>268</v>
      </c>
      <c r="B6" s="75"/>
      <c r="C6" s="76"/>
      <c r="D6" s="74" t="s">
        <v>266</v>
      </c>
    </row>
    <row r="7" customFormat="false" ht="15" hidden="false" customHeight="false" outlineLevel="0" collapsed="false">
      <c r="A7" s="74" t="s">
        <v>269</v>
      </c>
      <c r="B7" s="75"/>
      <c r="C7" s="76"/>
      <c r="D7" s="74" t="s">
        <v>266</v>
      </c>
    </row>
    <row r="8" customFormat="false" ht="15" hidden="false" customHeight="false" outlineLevel="0" collapsed="false">
      <c r="A8" s="77" t="s">
        <v>270</v>
      </c>
      <c r="B8" s="78"/>
      <c r="C8" s="79"/>
      <c r="D8" s="80" t="s">
        <v>266</v>
      </c>
    </row>
    <row r="9" customFormat="false" ht="15" hidden="false" customHeight="false" outlineLevel="0" collapsed="false">
      <c r="A9" s="77" t="s">
        <v>271</v>
      </c>
      <c r="B9" s="81" t="n">
        <f aca="false">Assumptions!$B$5</f>
        <v>1000000</v>
      </c>
      <c r="C9" s="82" t="n">
        <f aca="false">Assumptions!$B$5/Assumptions!$B$6</f>
        <v>0.166666666666667</v>
      </c>
      <c r="D9" s="80" t="s">
        <v>272</v>
      </c>
    </row>
    <row r="10" customFormat="false" ht="15" hidden="false" customHeight="false" outlineLevel="0" collapsed="false">
      <c r="A10" s="83" t="s">
        <v>273</v>
      </c>
      <c r="B10" s="84" t="n">
        <f aca="false">SUM(B4:B9)</f>
        <v>1000000</v>
      </c>
      <c r="C10" s="85" t="n">
        <f aca="false">SUM(C4:C9)</f>
        <v>0.166666666666667</v>
      </c>
      <c r="D10" s="86" t="s">
        <v>274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